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Start" sheetId="1" state="visible" r:id="rId1"/>
    <sheet name="Setup" sheetId="2" state="visible" r:id="rId2"/>
    <sheet name="Summary" sheetId="3" state="visible" r:id="rId3"/>
    <sheet name="Buy list" sheetId="4" state="visible" r:id="rId4"/>
    <sheet name="Plan" sheetId="5" state="visible" r:id="rId5"/>
    <sheet name="Weekend"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5">
    <numFmt numFmtId="164" formatCode="d\ mmm\ yyyy"/>
    <numFmt numFmtId="165" formatCode="0.0\x"/>
    <numFmt numFmtId="166" formatCode="#,##0.0"/>
    <numFmt numFmtId="167" formatCode="0.0"/>
    <numFmt numFmtId="168" formatCode="yyyy-mm-dd h:mm:ss"/>
  </numFmts>
  <fonts count="12">
    <font>
      <name val="Calibri"/>
      <charset val="1"/>
      <family val="2"/>
      <color theme="1"/>
      <sz val="11"/>
    </font>
    <font>
      <name val="Arial"/>
      <family val="0"/>
      <sz val="10"/>
    </font>
    <font>
      <name val="Arial"/>
      <family val="0"/>
      <sz val="10"/>
    </font>
    <font>
      <name val="Arial"/>
      <family val="0"/>
      <sz val="10"/>
    </font>
    <font>
      <name val="Arial"/>
      <charset val="1"/>
      <family val="0"/>
      <b val="1"/>
      <color rgb="FF0F3D3E"/>
      <sz val="16"/>
    </font>
    <font>
      <name val="Arial"/>
      <charset val="1"/>
      <family val="0"/>
      <color rgb="FF5B6770"/>
      <sz val="10"/>
    </font>
    <font>
      <name val="Arial"/>
      <charset val="1"/>
      <family val="0"/>
      <b val="1"/>
      <color rgb="FF0F3D3E"/>
      <sz val="11"/>
    </font>
    <font>
      <name val="Arial"/>
      <charset val="1"/>
      <family val="0"/>
      <b val="1"/>
      <color rgb="FF1F2933"/>
      <sz val="10"/>
    </font>
    <font>
      <name val="Arial"/>
      <charset val="1"/>
      <family val="0"/>
      <color rgb="FF1F2933"/>
      <sz val="10"/>
    </font>
    <font>
      <name val="Arial"/>
      <charset val="1"/>
      <family val="0"/>
      <color rgb="FF0000FF"/>
      <sz val="10"/>
    </font>
    <font>
      <name val="Arial"/>
      <charset val="1"/>
      <family val="0"/>
      <b val="1"/>
      <color rgb="FFFFFFFF"/>
      <sz val="10"/>
    </font>
    <font>
      <name val="Arial"/>
      <color rgb="FF0F3D3E"/>
      <sz val="10"/>
      <u val="single"/>
    </font>
  </fonts>
  <fills count="5">
    <fill>
      <patternFill/>
    </fill>
    <fill>
      <patternFill patternType="gray125"/>
    </fill>
    <fill>
      <patternFill patternType="solid">
        <fgColor rgb="FFFFF9DB"/>
        <bgColor rgb="FFFDEBD0"/>
      </patternFill>
    </fill>
    <fill>
      <patternFill patternType="solid">
        <fgColor rgb="FFE8F1F0"/>
        <bgColor rgb="FFD5F5E3"/>
      </patternFill>
    </fill>
    <fill>
      <patternFill patternType="solid">
        <fgColor rgb="FF0F3D3E"/>
        <bgColor rgb="FF1F2933"/>
      </patternFill>
    </fill>
  </fills>
  <borders count="2">
    <border>
      <left/>
      <right/>
      <top/>
      <bottom/>
      <diagonal/>
    </border>
    <border>
      <left style="thin">
        <color rgb="FFD5DDE0"/>
      </left>
      <right style="thin">
        <color rgb="FFD5DDE0"/>
      </right>
      <top style="thin">
        <color rgb="FFD5DDE0"/>
      </top>
      <bottom style="thin">
        <color rgb="FFD5DDE0"/>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01">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2" borderId="0" applyAlignment="1" pivotButton="0" quotePrefix="0" xfId="0">
      <alignment horizontal="general" vertical="bottom"/>
    </xf>
    <xf numFmtId="0" fontId="7" fillId="3" borderId="0" applyAlignment="1" pivotButton="0" quotePrefix="0" xfId="0">
      <alignment horizontal="general" vertical="bottom"/>
    </xf>
    <xf numFmtId="0" fontId="10" fillId="4" borderId="0" applyAlignment="1" pivotButton="0" quotePrefix="0" xfId="0">
      <alignment horizontal="general" vertical="bottom"/>
    </xf>
    <xf numFmtId="0" fontId="8" fillId="0" borderId="0" applyAlignment="1" pivotButton="0" quotePrefix="0" xfId="0">
      <alignment horizontal="general" vertical="bottom"/>
    </xf>
    <xf numFmtId="164" fontId="8" fillId="2" borderId="1" applyAlignment="1" pivotButton="0" quotePrefix="0" xfId="0">
      <alignment horizontal="right" vertical="bottom"/>
    </xf>
    <xf numFmtId="164" fontId="9" fillId="2" borderId="1" applyAlignment="1" pivotButton="0" quotePrefix="0" xfId="0">
      <alignment horizontal="right" vertical="bottom"/>
    </xf>
    <xf numFmtId="164" fontId="8" fillId="3" borderId="1" applyAlignment="1" pivotButton="0" quotePrefix="0" xfId="0">
      <alignment horizontal="right" vertical="bottom"/>
    </xf>
    <xf numFmtId="1" fontId="9" fillId="2" borderId="1" applyAlignment="1" pivotButton="0" quotePrefix="0" xfId="0">
      <alignment horizontal="right" vertical="bottom"/>
    </xf>
    <xf numFmtId="165" fontId="9" fillId="2" borderId="1" applyAlignment="1" pivotButton="0" quotePrefix="0" xfId="0">
      <alignment horizontal="right" vertical="bottom"/>
    </xf>
    <xf numFmtId="9" fontId="9" fillId="2" borderId="1" applyAlignment="1" pivotButton="0" quotePrefix="0" xfId="0">
      <alignment horizontal="right" vertical="bottom"/>
    </xf>
    <xf numFmtId="3" fontId="9" fillId="2" borderId="1" applyAlignment="1" pivotButton="0" quotePrefix="0" xfId="0">
      <alignment horizontal="right" vertical="bottom"/>
    </xf>
    <xf numFmtId="0" fontId="9" fillId="2" borderId="1" applyAlignment="1" pivotButton="0" quotePrefix="0" xfId="0">
      <alignment horizontal="general" vertical="bottom"/>
    </xf>
    <xf numFmtId="164" fontId="8" fillId="3" borderId="1" applyAlignment="1" pivotButton="0" quotePrefix="0" xfId="0">
      <alignment horizontal="general" vertical="bottom"/>
    </xf>
    <xf numFmtId="0" fontId="7" fillId="3" borderId="1" applyAlignment="1" pivotButton="0" quotePrefix="0" xfId="0">
      <alignment horizontal="general" vertical="bottom"/>
    </xf>
    <xf numFmtId="164" fontId="7" fillId="3" borderId="1" applyAlignment="1" pivotButton="0" quotePrefix="0" xfId="0">
      <alignment horizontal="right" vertical="bottom"/>
    </xf>
    <xf numFmtId="1" fontId="7" fillId="3" borderId="1" applyAlignment="1" pivotButton="0" quotePrefix="0" xfId="0">
      <alignment horizontal="right" vertical="bottom"/>
    </xf>
    <xf numFmtId="3" fontId="7" fillId="3" borderId="1" applyAlignment="1" pivotButton="0" quotePrefix="0" xfId="0">
      <alignment horizontal="right" vertical="bottom"/>
    </xf>
    <xf numFmtId="0" fontId="10" fillId="4" borderId="0" applyAlignment="1" pivotButton="0" quotePrefix="0" xfId="0">
      <alignment horizontal="general" vertical="bottom" wrapText="1"/>
    </xf>
    <xf numFmtId="3" fontId="8" fillId="0" borderId="1" applyAlignment="1" pivotButton="0" quotePrefix="0" xfId="0">
      <alignment horizontal="general" vertical="bottom"/>
    </xf>
    <xf numFmtId="3" fontId="7" fillId="0" borderId="1" applyAlignment="1" pivotButton="0" quotePrefix="0" xfId="0">
      <alignment horizontal="general" vertical="bottom"/>
    </xf>
    <xf numFmtId="0" fontId="10" fillId="4" borderId="0" applyAlignment="1" pivotButton="0" quotePrefix="0" xfId="0">
      <alignment horizontal="center" vertical="bottom"/>
    </xf>
    <xf numFmtId="0" fontId="10" fillId="4" borderId="0" applyAlignment="1" pivotButton="0" quotePrefix="0" xfId="0">
      <alignment horizontal="center" vertical="bottom"/>
    </xf>
    <xf numFmtId="0" fontId="7" fillId="2" borderId="1" applyAlignment="1" pivotButton="0" quotePrefix="0" xfId="0">
      <alignment horizontal="center" vertical="center" wrapText="1"/>
    </xf>
    <xf numFmtId="0" fontId="7" fillId="3" borderId="1" applyAlignment="1" pivotButton="0" quotePrefix="0" xfId="0">
      <alignment horizontal="center" vertical="center" wrapText="1"/>
    </xf>
    <xf numFmtId="4" fontId="9" fillId="2" borderId="1" applyAlignment="1" pivotButton="0" quotePrefix="0" xfId="0">
      <alignment horizontal="general" vertical="bottom"/>
    </xf>
    <xf numFmtId="166" fontId="9" fillId="2" borderId="1" applyAlignment="1" pivotButton="0" quotePrefix="0" xfId="0">
      <alignment horizontal="general" vertical="bottom"/>
    </xf>
    <xf numFmtId="3" fontId="9" fillId="2" borderId="1" applyAlignment="1" pivotButton="0" quotePrefix="0" xfId="0">
      <alignment horizontal="general" vertical="bottom"/>
    </xf>
    <xf numFmtId="167" fontId="9" fillId="2" borderId="1" applyAlignment="1" pivotButton="0" quotePrefix="0" xfId="0">
      <alignment horizontal="general" vertical="bottom"/>
    </xf>
    <xf numFmtId="9" fontId="9" fillId="2" borderId="1" applyAlignment="1" pivotButton="0" quotePrefix="0" xfId="0">
      <alignment horizontal="general" vertical="bottom"/>
    </xf>
    <xf numFmtId="2" fontId="9" fillId="2" borderId="1" applyAlignment="1" pivotButton="0" quotePrefix="0" xfId="0">
      <alignment horizontal="general" vertical="bottom"/>
    </xf>
    <xf numFmtId="164" fontId="9" fillId="2" borderId="1" applyAlignment="1" pivotButton="0" quotePrefix="0" xfId="0">
      <alignment horizontal="general" vertical="bottom"/>
    </xf>
    <xf numFmtId="1" fontId="9" fillId="2" borderId="1" applyAlignment="1" pivotButton="0" quotePrefix="0" xfId="0">
      <alignment horizontal="general" vertical="bottom"/>
    </xf>
    <xf numFmtId="164" fontId="8" fillId="0" borderId="1" applyAlignment="1" pivotButton="0" quotePrefix="0" xfId="0">
      <alignment horizontal="general" vertical="bottom"/>
    </xf>
    <xf numFmtId="4" fontId="8" fillId="0" borderId="1" applyAlignment="1" pivotButton="0" quotePrefix="0" xfId="0">
      <alignment horizontal="general" vertical="bottom"/>
    </xf>
    <xf numFmtId="2" fontId="8" fillId="0" borderId="1" applyAlignment="1" pivotButton="0" quotePrefix="0" xfId="0">
      <alignment horizontal="general" vertical="bottom"/>
    </xf>
    <xf numFmtId="0" fontId="10" fillId="4" borderId="0" applyAlignment="1" pivotButton="0" quotePrefix="0" xfId="0">
      <alignment horizontal="general" vertical="center" wrapText="1"/>
    </xf>
    <xf numFmtId="167" fontId="8" fillId="0" borderId="1" applyAlignment="1" pivotButton="0" quotePrefix="0" xfId="0">
      <alignment horizontal="general" vertical="bottom"/>
    </xf>
    <xf numFmtId="1" fontId="8" fillId="0" borderId="1" applyAlignment="1" pivotButton="0" quotePrefix="0" xfId="0">
      <alignment horizontal="general" vertical="bottom"/>
    </xf>
    <xf numFmtId="0" fontId="7" fillId="0" borderId="1"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2" borderId="0" applyAlignment="1" pivotButton="0" quotePrefix="0" xfId="0">
      <alignment horizontal="general" vertical="bottom"/>
    </xf>
    <xf numFmtId="0" fontId="7" fillId="3" borderId="0" applyAlignment="1" pivotButton="0" quotePrefix="0" xfId="0">
      <alignment horizontal="general" vertical="bottom"/>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11" fillId="0" borderId="0" applyAlignment="1" pivotButton="0" quotePrefix="0" xfId="0">
      <alignment horizontal="general" vertical="top" wrapText="1"/>
    </xf>
    <xf numFmtId="0" fontId="11" fillId="0" borderId="0" applyAlignment="1" pivotButton="0" quotePrefix="0" xfId="0">
      <alignment horizontal="general" vertical="top" wrapText="1"/>
    </xf>
    <xf numFmtId="0" fontId="10" fillId="4" borderId="0" applyAlignment="1" pivotButton="0" quotePrefix="0" xfId="0">
      <alignment horizontal="general" vertical="bottom"/>
    </xf>
    <xf numFmtId="0" fontId="8" fillId="0" borderId="0" applyAlignment="1" pivotButton="0" quotePrefix="0" xfId="0">
      <alignment horizontal="general" vertical="bottom"/>
    </xf>
    <xf numFmtId="164" fontId="8" fillId="2" borderId="1" applyAlignment="1" applyProtection="1" pivotButton="0" quotePrefix="0" xfId="0">
      <alignment horizontal="right" vertical="bottom"/>
      <protection locked="0" hidden="0"/>
    </xf>
    <xf numFmtId="164" fontId="9" fillId="2" borderId="1" applyAlignment="1" applyProtection="1" pivotButton="0" quotePrefix="0" xfId="0">
      <alignment horizontal="right" vertical="bottom"/>
      <protection locked="0" hidden="0"/>
    </xf>
    <xf numFmtId="164" fontId="8" fillId="3" borderId="1" applyAlignment="1" pivotButton="0" quotePrefix="0" xfId="0">
      <alignment horizontal="right" vertical="bottom"/>
    </xf>
    <xf numFmtId="1" fontId="9" fillId="2" borderId="1" applyAlignment="1" applyProtection="1" pivotButton="0" quotePrefix="0" xfId="0">
      <alignment horizontal="right" vertical="bottom"/>
      <protection locked="0" hidden="0"/>
    </xf>
    <xf numFmtId="165" fontId="9" fillId="2" borderId="1" applyAlignment="1" applyProtection="1" pivotButton="0" quotePrefix="0" xfId="0">
      <alignment horizontal="right" vertical="bottom"/>
      <protection locked="0" hidden="0"/>
    </xf>
    <xf numFmtId="9" fontId="9" fillId="2" borderId="1" applyAlignment="1" applyProtection="1" pivotButton="0" quotePrefix="0" xfId="0">
      <alignment horizontal="right" vertical="bottom"/>
      <protection locked="0" hidden="0"/>
    </xf>
    <xf numFmtId="3" fontId="9" fillId="2" borderId="1" applyAlignment="1" applyProtection="1" pivotButton="0" quotePrefix="0" xfId="0">
      <alignment horizontal="right" vertical="bottom"/>
      <protection locked="0" hidden="0"/>
    </xf>
    <xf numFmtId="0" fontId="8" fillId="0" borderId="0" applyAlignment="1" pivotButton="0" quotePrefix="0" xfId="0">
      <alignment horizontal="general" vertical="bottom"/>
    </xf>
    <xf numFmtId="164" fontId="9" fillId="2" borderId="1" applyAlignment="1" applyProtection="1" pivotButton="0" quotePrefix="0" xfId="0">
      <alignment horizontal="right" vertical="bottom"/>
      <protection locked="0" hidden="0"/>
    </xf>
    <xf numFmtId="0" fontId="5" fillId="0" borderId="0" applyAlignment="1" pivotButton="0" quotePrefix="0" xfId="0">
      <alignment horizontal="general" vertical="bottom"/>
    </xf>
    <xf numFmtId="0" fontId="9" fillId="2" borderId="1" applyAlignment="1" applyProtection="1" pivotButton="0" quotePrefix="0" xfId="0">
      <alignment horizontal="general" vertical="bottom"/>
      <protection locked="0" hidden="0"/>
    </xf>
    <xf numFmtId="164" fontId="8" fillId="3" borderId="1" applyAlignment="1" pivotButton="0" quotePrefix="0" xfId="0">
      <alignment horizontal="general" vertical="bottom"/>
    </xf>
    <xf numFmtId="0" fontId="7" fillId="3" borderId="1" applyAlignment="1" pivotButton="0" quotePrefix="0" xfId="0">
      <alignment horizontal="general" vertical="bottom"/>
    </xf>
    <xf numFmtId="164" fontId="7" fillId="3" borderId="1" applyAlignment="1" pivotButton="0" quotePrefix="0" xfId="0">
      <alignment horizontal="right" vertical="bottom"/>
    </xf>
    <xf numFmtId="1" fontId="7" fillId="3" borderId="1" applyAlignment="1" pivotButton="0" quotePrefix="0" xfId="0">
      <alignment horizontal="right" vertical="bottom"/>
    </xf>
    <xf numFmtId="3" fontId="7" fillId="3" borderId="1" applyAlignment="1" pivotButton="0" quotePrefix="0" xfId="0">
      <alignment horizontal="right" vertical="bottom"/>
    </xf>
    <xf numFmtId="1" fontId="7" fillId="3" borderId="1" applyAlignment="1" pivotButton="0" quotePrefix="0" xfId="0">
      <alignment horizontal="right" vertical="bottom"/>
    </xf>
    <xf numFmtId="0" fontId="10" fillId="4" borderId="0" applyAlignment="1" pivotButton="0" quotePrefix="0" xfId="0">
      <alignment horizontal="general" vertical="bottom" wrapText="1"/>
    </xf>
    <xf numFmtId="3" fontId="8" fillId="0" borderId="1" applyAlignment="1" pivotButton="0" quotePrefix="0" xfId="0">
      <alignment horizontal="general" vertical="bottom"/>
    </xf>
    <xf numFmtId="3" fontId="7" fillId="0" borderId="1" applyAlignment="1" pivotButton="0" quotePrefix="0" xfId="0">
      <alignment horizontal="general" vertical="bottom"/>
    </xf>
    <xf numFmtId="0" fontId="10" fillId="4" borderId="0" applyAlignment="1" pivotButton="0" quotePrefix="0" xfId="0">
      <alignment horizontal="center" vertical="bottom"/>
    </xf>
    <xf numFmtId="0" fontId="10" fillId="4" borderId="0" applyAlignment="1" pivotButton="0" quotePrefix="0" xfId="0">
      <alignment horizontal="center" vertical="bottom"/>
    </xf>
    <xf numFmtId="0" fontId="7" fillId="2" borderId="1" applyAlignment="1" pivotButton="0" quotePrefix="0" xfId="0">
      <alignment horizontal="center" vertical="center" wrapText="1"/>
    </xf>
    <xf numFmtId="0" fontId="7" fillId="3" borderId="1" applyAlignment="1" pivotButton="0" quotePrefix="0" xfId="0">
      <alignment horizontal="center" vertical="center" wrapText="1"/>
    </xf>
    <xf numFmtId="0" fontId="7" fillId="3" borderId="1" applyAlignment="1" pivotButton="0" quotePrefix="0" xfId="0">
      <alignment horizontal="center" vertical="center" wrapText="1"/>
    </xf>
    <xf numFmtId="4" fontId="9" fillId="2" borderId="1" applyAlignment="1" applyProtection="1" pivotButton="0" quotePrefix="0" xfId="0">
      <alignment horizontal="general" vertical="bottom"/>
      <protection locked="0" hidden="0"/>
    </xf>
    <xf numFmtId="166" fontId="9" fillId="2" borderId="1" applyAlignment="1" applyProtection="1" pivotButton="0" quotePrefix="0" xfId="0">
      <alignment horizontal="general" vertical="bottom"/>
      <protection locked="0" hidden="0"/>
    </xf>
    <xf numFmtId="3" fontId="9" fillId="2" borderId="1" applyAlignment="1" applyProtection="1" pivotButton="0" quotePrefix="0" xfId="0">
      <alignment horizontal="general" vertical="bottom"/>
      <protection locked="0" hidden="0"/>
    </xf>
    <xf numFmtId="167" fontId="9" fillId="2" borderId="1" applyAlignment="1" applyProtection="1" pivotButton="0" quotePrefix="0" xfId="0">
      <alignment horizontal="general" vertical="bottom"/>
      <protection locked="0" hidden="0"/>
    </xf>
    <xf numFmtId="9" fontId="9" fillId="2" borderId="1" applyAlignment="1" applyProtection="1" pivotButton="0" quotePrefix="0" xfId="0">
      <alignment horizontal="general" vertical="bottom"/>
      <protection locked="0" hidden="0"/>
    </xf>
    <xf numFmtId="2" fontId="9" fillId="2" borderId="1" applyAlignment="1" applyProtection="1" pivotButton="0" quotePrefix="0" xfId="0">
      <alignment horizontal="general" vertical="bottom"/>
      <protection locked="0" hidden="0"/>
    </xf>
    <xf numFmtId="164" fontId="9" fillId="2" borderId="1" applyAlignment="1" applyProtection="1" pivotButton="0" quotePrefix="0" xfId="0">
      <alignment horizontal="general" vertical="bottom"/>
      <protection locked="0" hidden="0"/>
    </xf>
    <xf numFmtId="1" fontId="9" fillId="2" borderId="1" applyAlignment="1" applyProtection="1" pivotButton="0" quotePrefix="0" xfId="0">
      <alignment horizontal="general" vertical="bottom"/>
      <protection locked="0" hidden="0"/>
    </xf>
    <xf numFmtId="164" fontId="8" fillId="0" borderId="1" applyAlignment="1" pivotButton="0" quotePrefix="0" xfId="0">
      <alignment horizontal="general" vertical="bottom"/>
    </xf>
    <xf numFmtId="4" fontId="8" fillId="0" borderId="1" applyAlignment="1" pivotButton="0" quotePrefix="0" xfId="0">
      <alignment horizontal="general" vertical="bottom"/>
    </xf>
    <xf numFmtId="2" fontId="8" fillId="0" borderId="1" applyAlignment="1" pivotButton="0" quotePrefix="0" xfId="0">
      <alignment horizontal="general" vertical="bottom"/>
    </xf>
    <xf numFmtId="164" fontId="8" fillId="0" borderId="1" applyAlignment="1" pivotButton="0" quotePrefix="0" xfId="0">
      <alignment horizontal="general" vertical="bottom"/>
    </xf>
    <xf numFmtId="0" fontId="10" fillId="4" borderId="0" applyAlignment="1" pivotButton="0" quotePrefix="0" xfId="0">
      <alignment horizontal="general" vertical="center" wrapText="1"/>
    </xf>
    <xf numFmtId="167" fontId="8" fillId="0" borderId="1" applyAlignment="1" pivotButton="0" quotePrefix="0" xfId="0">
      <alignment horizontal="general" vertical="bottom"/>
    </xf>
    <xf numFmtId="1" fontId="8" fillId="0" borderId="1" applyAlignment="1" pivotButton="0" quotePrefix="0" xfId="0">
      <alignment horizontal="general" vertical="bottom"/>
    </xf>
    <xf numFmtId="0" fontId="7" fillId="0" borderId="1"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3">
    <dxf>
      <fill>
        <patternFill>
          <bgColor rgb="FFFADBD8"/>
        </patternFill>
      </fill>
    </dxf>
    <dxf>
      <fill>
        <patternFill>
          <bgColor rgb="FFFDEBD0"/>
        </patternFill>
      </fill>
    </dxf>
    <dxf>
      <fill>
        <patternFill>
          <bgColor rgb="FFD5F5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E8F1F0"/>
      <rgbColor rgb="FF660066"/>
      <rgbColor rgb="FFFF8080"/>
      <rgbColor rgb="FF0066CC"/>
      <rgbColor rgb="FFD5DDE0"/>
      <rgbColor rgb="FF000080"/>
      <rgbColor rgb="FFFF00FF"/>
      <rgbColor rgb="FFFFFF00"/>
      <rgbColor rgb="FF00FFFF"/>
      <rgbColor rgb="FF800080"/>
      <rgbColor rgb="FF800000"/>
      <rgbColor rgb="FF008080"/>
      <rgbColor rgb="FF0000FF"/>
      <rgbColor rgb="FF00CCFF"/>
      <rgbColor rgb="FFCCFFFF"/>
      <rgbColor rgb="FFD5F5E3"/>
      <rgbColor rgb="FFFDEBD0"/>
      <rgbColor rgb="FF99CCFF"/>
      <rgbColor rgb="FFFF99CC"/>
      <rgbColor rgb="FFCC99FF"/>
      <rgbColor rgb="FFFADBD8"/>
      <rgbColor rgb="FF3366FF"/>
      <rgbColor rgb="FF33CCCC"/>
      <rgbColor rgb="FF99CC00"/>
      <rgbColor rgb="FFFFCC00"/>
      <rgbColor rgb="FFFF9900"/>
      <rgbColor rgb="FFFF6600"/>
      <rgbColor rgb="FF5B6770"/>
      <rgbColor rgb="FF969696"/>
      <rgbColor rgb="FF0F3D3E"/>
      <rgbColor rgb="FF339966"/>
      <rgbColor rgb="FF003300"/>
      <rgbColor rgb="FF333300"/>
      <rgbColor rgb="FF993300"/>
      <rgbColor rgb="FF993366"/>
      <rgbColor rgb="FF333399"/>
      <rgbColor rgb="FF1F29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https://forstock.io/?utm_source=bfcm-planner&amp;utm_medium=spreadsheet&amp;utm_campaign=bfcm-2026" TargetMode="External" Id="rId1" /><Relationship Type="http://schemas.openxmlformats.org/officeDocument/2006/relationships/hyperlink" Target="https://forstock.io/blog/bfcm-inventory-planning-shopify?utm_source=bfcm-planner&amp;utm_medium=spreadsheet&amp;utm_campaign=bfcm-2026" TargetMode="External" Id="rId2" /></Relationships>
</file>

<file path=xl/worksheets/sheet1.xml><?xml version="1.0" encoding="utf-8"?>
<worksheet xmlns="http://schemas.openxmlformats.org/spreadsheetml/2006/main">
  <sheetPr filterMode="0">
    <outlinePr summaryBelow="1" summaryRight="1"/>
    <pageSetUpPr fitToPage="0"/>
  </sheetPr>
  <dimension ref="B2:C23"/>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45" min="1" max="1"/>
    <col width="28" customWidth="1" style="45" min="2" max="2"/>
    <col width="92" customWidth="1" style="45" min="3" max="3"/>
  </cols>
  <sheetData>
    <row r="2" ht="19.7" customHeight="1" s="46">
      <c r="B2" s="47" t="inlineStr">
        <is>
          <t>BFCM Inventory Countdown Planner</t>
        </is>
      </c>
    </row>
    <row r="3" ht="15" customHeight="1" s="46">
      <c r="B3" s="48" t="inlineStr">
        <is>
          <t>Work out what to order, when to order it and how to ship it so stock is on the shelf before your sale starts.</t>
        </is>
      </c>
    </row>
    <row r="5" ht="15" customHeight="1" s="46">
      <c r="B5" s="49" t="inlineStr">
        <is>
          <t>How to use it</t>
        </is>
      </c>
    </row>
    <row r="6" ht="30" customHeight="1" s="46">
      <c r="B6" s="50" t="inlineStr">
        <is>
          <t>1. Setup</t>
        </is>
      </c>
      <c r="C6" s="51" t="inlineStr">
        <is>
          <t>Check the dates and assumptions. Black Friday, your on-shelf date and the freight cutoffs all live here.</t>
        </is>
      </c>
    </row>
    <row r="7" ht="30" customHeight="1" s="46">
      <c r="B7" s="50" t="inlineStr">
        <is>
          <t>2. Plan</t>
        </is>
      </c>
      <c r="C7" s="51" t="inlineStr">
        <is>
          <t>One row per SKU. Fill the yellow cells. The sheet checks your inputs, then returns a low, base and high forecast, the order quantity, the PO deadline, a warning if stock runs out before a delivery lands, and which units are needed first.</t>
        </is>
      </c>
    </row>
    <row r="8" ht="15.75" customHeight="1" s="46">
      <c r="B8" s="50" t="inlineStr">
        <is>
          <t>3. Summary</t>
        </is>
      </c>
      <c r="C8" s="51" t="inlineStr">
        <is>
          <t>Totals, the earliest deadline, and what is already too late.</t>
        </is>
      </c>
    </row>
    <row r="9" ht="15.75" customHeight="1" s="46">
      <c r="B9" s="50" t="inlineStr">
        <is>
          <t>4. Buy list</t>
        </is>
      </c>
      <c r="C9" s="51" t="inlineStr">
        <is>
          <t>Orders in priority order, with what a budget does and does not cover.</t>
        </is>
      </c>
    </row>
    <row r="10" ht="30" customHeight="1" s="46">
      <c r="B10" s="50" t="inlineStr">
        <is>
          <t>5. Weekend</t>
        </is>
      </c>
      <c r="C10" s="51" t="inlineStr">
        <is>
          <t>Use during the sale. Enter stock and recent sales, and it tells you what to do with each bestseller.</t>
        </is>
      </c>
    </row>
    <row r="11" ht="15" customHeight="1" s="46">
      <c r="B11" s="50" t="n"/>
    </row>
    <row r="12" ht="15" customHeight="1" s="46">
      <c r="B12" s="49" t="inlineStr">
        <is>
          <t>Cell colours</t>
        </is>
      </c>
    </row>
    <row r="13" ht="15.75" customHeight="1" s="46">
      <c r="B13" s="52" t="inlineStr">
        <is>
          <t>Yellow, blue text</t>
        </is>
      </c>
      <c r="C13" s="51" t="inlineStr">
        <is>
          <t>You type here.</t>
        </is>
      </c>
    </row>
    <row r="14" ht="15.75" customHeight="1" s="46">
      <c r="B14" s="53" t="inlineStr">
        <is>
          <t>White or green</t>
        </is>
      </c>
      <c r="C14" s="51" t="inlineStr">
        <is>
          <t>Calculated. Do not overwrite.</t>
        </is>
      </c>
    </row>
    <row r="15" ht="15" customHeight="1" s="46">
      <c r="B15" s="50" t="n"/>
    </row>
    <row r="16" ht="30" customHeight="1" s="46">
      <c r="B16" s="50" t="inlineStr">
        <is>
          <t>Example rows</t>
        </is>
      </c>
      <c r="C16" s="51" t="inlineStr">
        <is>
          <t>Plan rows 6 to 8 hold three example SKUs so you can see the expected format. Overwrite or clear the yellow cells in those rows before using your own data.</t>
        </is>
      </c>
    </row>
    <row r="17" ht="15" customHeight="1" s="46">
      <c r="B17" s="50" t="n"/>
    </row>
    <row r="18" ht="30" customHeight="1" s="46">
      <c r="B18" s="50" t="inlineStr">
        <is>
          <t>How the forecast works</t>
        </is>
      </c>
      <c r="C18" s="51" t="inlineStr">
        <is>
          <t>Last year's BFCM units are scaled up for the days you were out of stock, then multiplied by your growth and any change in the offer. Evergreen SKUs are planned at the high scenario, steady SKUs at base, seasonal or new SKUs at low.</t>
        </is>
      </c>
    </row>
    <row r="19" ht="43" customHeight="1" s="46">
      <c r="B19" s="50" t="inlineStr">
        <is>
          <t>How the deadline works</t>
        </is>
      </c>
      <c r="C19" s="51" t="inlineStr">
        <is>
          <t>On-shelf date, minus receiving days, minus freight transit, minus production days. If the date has passed for the chosen freight mode, the status says whether Air or Express still works, and whether the order would at least land before Black Friday. Overseas production starts when factories reopen (Setup).</t>
        </is>
      </c>
    </row>
    <row r="20" ht="30" customHeight="1" s="46">
      <c r="B20" s="50" t="inlineStr">
        <is>
          <t>What it does not do</t>
        </is>
      </c>
      <c r="C20" s="51" t="inlineStr">
        <is>
          <t>It plans one stock pool per SKU. If you hold stock in several locations, plan each location as its own row or total them. It is not a day-by-day simulation.</t>
        </is>
      </c>
    </row>
    <row r="21" ht="30" customHeight="1" s="46">
      <c r="B21" s="54" t="inlineStr">
        <is>
          <t>Locked cells</t>
        </is>
      </c>
      <c r="C21" s="55" t="inlineStr">
        <is>
          <t>Calculated cells are protected so a paste cannot overwrite them. To change a formula, use Review &gt; Unprotect Sheet. There is no password.</t>
        </is>
      </c>
    </row>
    <row r="22" ht="15.75" customHeight="1" s="46">
      <c r="B22" s="50" t="inlineStr">
        <is>
          <t>Made by Forstock</t>
        </is>
      </c>
      <c r="C22" s="56" t="inlineStr">
        <is>
          <t>Inventory planning for Shopify brands. forstock.io</t>
        </is>
      </c>
    </row>
    <row r="23" ht="15.75" customHeight="1" s="46">
      <c r="B23" s="54" t="inlineStr">
        <is>
          <t>Read the guide</t>
        </is>
      </c>
      <c r="C23" s="57" t="inlineStr">
        <is>
          <t>BFCM 2026 inventory: what you can still do, and by when. The worked example behind this planner.</t>
        </is>
      </c>
    </row>
  </sheetData>
  <sheetProtection selectLockedCells="0" selectUnlockedCells="0" sheet="1" objects="0" insertRows="1" insertHyperlinks="1" autoFilter="1" scenarios="0" formatColumns="0" deleteColumns="1" insertColumns="1" pivotTables="1" deleteRows="1" formatCells="0" formatRows="0" sort="1"/>
  <hyperlinks>
    <hyperlink xmlns:r="http://schemas.openxmlformats.org/officeDocument/2006/relationships" ref="C22" r:id="rId1"/>
    <hyperlink xmlns:r="http://schemas.openxmlformats.org/officeDocument/2006/relationships" ref="C23" r:id="rId2"/>
  </hyperlink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B2:F3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45" min="1" max="1"/>
    <col width="46" customWidth="1" style="45" min="2" max="2"/>
    <col width="16" customWidth="1" style="45" min="3" max="3"/>
    <col width="20" customWidth="1" style="45" min="4" max="4"/>
    <col width="14" customWidth="1" style="45" min="5" max="5"/>
    <col width="70" customWidth="1" style="45" min="6" max="6"/>
  </cols>
  <sheetData>
    <row r="2" ht="19.7" customHeight="1" s="46">
      <c r="B2" s="47" t="inlineStr">
        <is>
          <t>Setup</t>
        </is>
      </c>
    </row>
    <row r="3" ht="15" customHeight="1" s="46">
      <c r="B3" s="58" t="inlineStr">
        <is>
          <t>Setting</t>
        </is>
      </c>
      <c r="C3" s="58" t="inlineStr">
        <is>
          <t>Value</t>
        </is>
      </c>
      <c r="D3" s="58" t="n"/>
      <c r="E3" s="58" t="n"/>
      <c r="F3" s="58" t="inlineStr">
        <is>
          <t>Note</t>
        </is>
      </c>
    </row>
    <row r="4" ht="15" customHeight="1" s="46">
      <c r="B4" s="59" t="inlineStr">
        <is>
          <t>Plan date</t>
        </is>
      </c>
      <c r="C4" s="60">
        <f>TODAY()</f>
        <v>46300</v>
      </c>
      <c r="F4" s="48" t="inlineStr">
        <is>
          <t>Today. Type a date over the formula to freeze the plan.</t>
        </is>
      </c>
    </row>
    <row r="5" ht="15" customHeight="1" s="46">
      <c r="B5" s="59" t="inlineStr">
        <is>
          <t>Black Friday</t>
        </is>
      </c>
      <c r="C5" s="61" t="n">
        <v>46353</v>
      </c>
      <c r="F5" s="48" t="inlineStr">
        <is>
          <t>Day after US Thanksgiving. 27 November in 2026.</t>
        </is>
      </c>
    </row>
    <row r="6" ht="15" customHeight="1" s="46">
      <c r="B6" s="59" t="inlineStr">
        <is>
          <t>Cyber Monday</t>
        </is>
      </c>
      <c r="C6" s="62">
        <f>C5+3</f>
        <v>46356</v>
      </c>
      <c r="F6" s="48" t="inlineStr">
        <is>
          <t>Calculated.</t>
        </is>
      </c>
    </row>
    <row r="7" ht="15" customHeight="1" s="46">
      <c r="B7" s="59" t="inlineStr">
        <is>
          <t>Lead-in days before Black Friday</t>
        </is>
      </c>
      <c r="C7" s="63" t="n">
        <v>4</v>
      </c>
      <c r="F7" s="48" t="inlineStr">
        <is>
          <t>Days of raised sales before the weekend. Assumption.</t>
        </is>
      </c>
    </row>
    <row r="8" ht="15" customHeight="1" s="46">
      <c r="B8" s="59" t="inlineStr">
        <is>
          <t>Lead-in sales multiplier</t>
        </is>
      </c>
      <c r="C8" s="64" t="n">
        <v>2</v>
      </c>
      <c r="F8" s="48" t="inlineStr">
        <is>
          <t>Sales on lead-in days vs a normal day. Assumption, replace with your own.</t>
        </is>
      </c>
    </row>
    <row r="9" ht="15" customHeight="1" s="46">
      <c r="B9" s="59" t="inlineStr">
        <is>
          <t>Days stock must be sellable before Black Friday</t>
        </is>
      </c>
      <c r="C9" s="63" t="n">
        <v>11</v>
      </c>
      <c r="F9" s="48" t="inlineStr">
        <is>
          <t>11 gives Monday 16 November. Raise it if your sale starts earlier.</t>
        </is>
      </c>
    </row>
    <row r="10" ht="15" customHeight="1" s="46">
      <c r="B10" s="59" t="inlineStr">
        <is>
          <t>On-shelf date</t>
        </is>
      </c>
      <c r="C10" s="62">
        <f>C5-C9</f>
        <v>46342</v>
      </c>
      <c r="F10" s="48" t="inlineStr">
        <is>
          <t>Calculated. Stock must be received and pickable by this date.</t>
        </is>
      </c>
    </row>
    <row r="11" ht="15" customHeight="1" s="46">
      <c r="B11" s="59" t="inlineStr">
        <is>
          <t>Receiving days at the warehouse</t>
        </is>
      </c>
      <c r="C11" s="63" t="n">
        <v>5</v>
      </c>
      <c r="F11" s="48" t="inlineStr">
        <is>
          <t>Ask your 3PL for their peak-season figure.</t>
        </is>
      </c>
    </row>
    <row r="12" ht="15" customHeight="1" s="46">
      <c r="B12" s="59" t="inlineStr">
        <is>
          <t>Warehouse arrival deadline</t>
        </is>
      </c>
      <c r="C12" s="62">
        <f>C10-C11</f>
        <v>46337</v>
      </c>
      <c r="F12" s="48" t="inlineStr">
        <is>
          <t>Calculated.</t>
        </is>
      </c>
    </row>
    <row r="13" ht="15" customHeight="1" s="46">
      <c r="B13" s="59" t="inlineStr">
        <is>
          <t>Cover demand through</t>
        </is>
      </c>
      <c r="C13" s="61" t="n">
        <v>46387</v>
      </c>
      <c r="F13" s="48" t="inlineStr">
        <is>
          <t>The date your next delivery after this one can land.</t>
        </is>
      </c>
    </row>
    <row r="14" ht="15" customHeight="1" s="46">
      <c r="B14" s="59" t="inlineStr">
        <is>
          <t>December sales factor</t>
        </is>
      </c>
      <c r="C14" s="64" t="n">
        <v>1.5</v>
      </c>
      <c r="F14" s="48" t="inlineStr">
        <is>
          <t>December daily sales vs a normal day. Assumption, replace with your own.</t>
        </is>
      </c>
    </row>
    <row r="15" ht="15" customHeight="1" s="46">
      <c r="B15" s="59" t="inlineStr">
        <is>
          <t>Safety stock, days of normal sales</t>
        </is>
      </c>
      <c r="C15" s="63" t="n">
        <v>12</v>
      </c>
      <c r="F15" s="48" t="inlineStr">
        <is>
          <t>Buffer held on top of forecast demand.</t>
        </is>
      </c>
    </row>
    <row r="16" ht="15" customHeight="1" s="46">
      <c r="B16" s="59" t="inlineStr">
        <is>
          <t>Default year-on-year growth</t>
        </is>
      </c>
      <c r="C16" s="65" t="n">
        <v>0.2</v>
      </c>
      <c r="F16" s="48" t="inlineStr">
        <is>
          <t>Compare your last 8 weeks with the same 8 weeks last year.</t>
        </is>
      </c>
    </row>
    <row r="17" ht="15" customHeight="1" s="46">
      <c r="B17" s="59" t="inlineStr">
        <is>
          <t>Low scenario multiplier</t>
        </is>
      </c>
      <c r="C17" s="64" t="n">
        <v>0.8</v>
      </c>
      <c r="F17" s="48" t="inlineStr">
        <is>
          <t>Used for seasonal or new SKUs.</t>
        </is>
      </c>
    </row>
    <row r="18" ht="15" customHeight="1" s="46">
      <c r="B18" s="59" t="inlineStr">
        <is>
          <t>High scenario multiplier</t>
        </is>
      </c>
      <c r="C18" s="64" t="n">
        <v>1.3</v>
      </c>
      <c r="F18" s="48" t="inlineStr">
        <is>
          <t>Used for evergreen SKUs.</t>
        </is>
      </c>
    </row>
    <row r="19" ht="15" customHeight="1" s="46">
      <c r="B19" s="59" t="inlineStr">
        <is>
          <t>BFCM daily multiplier when there is no history</t>
        </is>
      </c>
      <c r="C19" s="64" t="n">
        <v>4</v>
      </c>
      <c r="F19" s="48" t="inlineStr">
        <is>
          <t>BFCM day vs a normal day for SKUs with no sales last year. Assumption.</t>
        </is>
      </c>
    </row>
    <row r="20" ht="15" customHeight="1" s="46">
      <c r="B20" s="59" t="inlineStr">
        <is>
          <t>Days after Cyber Monday the air portion must cover</t>
        </is>
      </c>
      <c r="C20" s="63" t="n">
        <v>14</v>
      </c>
      <c r="F20" s="48" t="inlineStr">
        <is>
          <t>The rest of the order can travel by a slower mode.</t>
        </is>
      </c>
    </row>
    <row r="21" ht="15" customHeight="1" s="46">
      <c r="B21" s="59" t="inlineStr">
        <is>
          <t>Inventory budget</t>
        </is>
      </c>
      <c r="C21" s="66" t="n"/>
      <c r="F21" s="48" t="inlineStr">
        <is>
          <t>Optional. Leave blank for no limit. Same currency as unit cost.</t>
        </is>
      </c>
    </row>
    <row r="22" ht="15" customHeight="1" s="46">
      <c r="B22" s="67" t="inlineStr">
        <is>
          <t>Overseas factories closed until</t>
        </is>
      </c>
      <c r="C22" s="68" t="n">
        <v>46303</v>
      </c>
      <c r="F22" s="69" t="inlineStr">
        <is>
          <t>Golden Week in China runs 1 to 7 October, so production restarts on the 8th. Applies to every freight mode except Domestic. Clear it if your supplier is working.</t>
        </is>
      </c>
    </row>
    <row r="23" ht="15" customHeight="1" s="46">
      <c r="B23" s="49" t="inlineStr">
        <is>
          <t>Freight modes</t>
        </is>
      </c>
    </row>
    <row r="24" ht="15" customHeight="1" s="46">
      <c r="B24" s="58" t="inlineStr">
        <is>
          <t>Mode</t>
        </is>
      </c>
      <c r="C24" s="58" t="inlineStr">
        <is>
          <t>Door to door, days</t>
        </is>
      </c>
      <c r="D24" s="58" t="inlineStr">
        <is>
          <t>Goods must leave by</t>
        </is>
      </c>
      <c r="E24" s="58" t="inlineStr">
        <is>
          <t>Status</t>
        </is>
      </c>
      <c r="F24" s="58" t="inlineStr">
        <is>
          <t>Note</t>
        </is>
      </c>
    </row>
    <row r="25" ht="15" customHeight="1" s="46">
      <c r="B25" s="59" t="inlineStr">
        <is>
          <t>Ocean long</t>
        </is>
      </c>
      <c r="C25" s="70" t="n">
        <v>50</v>
      </c>
      <c r="D25" s="71">
        <f>$C$12-C25</f>
        <v>46287</v>
      </c>
      <c r="E25" s="72" t="str">
        <f>IF(D25&gt;=$C$4,"Open","Closed")</f>
        <v>Closed</v>
      </c>
      <c r="F25" s="48" t="inlineStr">
        <is>
          <t>Asia to US East Coast or Northern Europe. Slow end of a typical 40 to 50 days.</t>
        </is>
      </c>
    </row>
    <row r="26" ht="15" customHeight="1" s="46">
      <c r="B26" s="59" t="inlineStr">
        <is>
          <t>Ocean short</t>
        </is>
      </c>
      <c r="C26" s="70" t="n">
        <v>35</v>
      </c>
      <c r="D26" s="71">
        <f>$C$12-C26</f>
        <v>46302</v>
      </c>
      <c r="E26" s="72" t="str">
        <f>IF(D26&gt;=$C$4,"Open","Closed")</f>
        <v>Open</v>
      </c>
      <c r="F26" s="48" t="inlineStr">
        <is>
          <t>Asia to US West Coast. Slow end of a typical 25 to 35 days.</t>
        </is>
      </c>
    </row>
    <row r="27" ht="15" customHeight="1" s="46">
      <c r="B27" s="59" t="inlineStr">
        <is>
          <t>Air</t>
        </is>
      </c>
      <c r="C27" s="70" t="n">
        <v>10</v>
      </c>
      <c r="D27" s="71">
        <f>$C$12-C27</f>
        <v>46327</v>
      </c>
      <c r="E27" s="72" t="str">
        <f>IF(D27&gt;=$C$4,"Open","Closed")</f>
        <v>Open</v>
      </c>
      <c r="F27" s="48" t="inlineStr">
        <is>
          <t>Slow end of a typical 7 to 10 days.</t>
        </is>
      </c>
    </row>
    <row r="28" ht="15" customHeight="1" s="46">
      <c r="B28" s="59" t="inlineStr">
        <is>
          <t>Express</t>
        </is>
      </c>
      <c r="C28" s="70" t="n">
        <v>5</v>
      </c>
      <c r="D28" s="71">
        <f>$C$12-C28</f>
        <v>46332</v>
      </c>
      <c r="E28" s="72" t="str">
        <f>IF(D28&gt;=$C$4,"Open","Closed")</f>
        <v>Open</v>
      </c>
      <c r="F28" s="48" t="inlineStr">
        <is>
          <t>Courier, small volumes. Typical 3 to 5 days.</t>
        </is>
      </c>
    </row>
    <row r="29" ht="15" customHeight="1" s="46">
      <c r="B29" s="59" t="inlineStr">
        <is>
          <t>Domestic</t>
        </is>
      </c>
      <c r="C29" s="70" t="n">
        <v>7</v>
      </c>
      <c r="D29" s="71">
        <f>$C$12-C29</f>
        <v>46330</v>
      </c>
      <c r="E29" s="72" t="str">
        <f>IF(D29&gt;=$C$4,"Open","Closed")</f>
        <v>Open</v>
      </c>
      <c r="F29" s="48" t="inlineStr">
        <is>
          <t>Domestic or nearshore truck. Typical 2 to 7 days.</t>
        </is>
      </c>
    </row>
    <row r="31" ht="15" customHeight="1" s="46">
      <c r="B31" s="48" t="inlineStr">
        <is>
          <t>Transit days are typical figures, not quotes. Replace them with what your forwarder tells you.</t>
        </is>
      </c>
    </row>
  </sheetData>
  <sheetProtection selectLockedCells="0" selectUnlockedCells="0" sheet="1" objects="0" insertRows="1" insertHyperlinks="1" autoFilter="1" scenarios="0" formatColumns="0" deleteColumns="1" insertColumns="1" pivotTables="1" deleteRows="1" formatCells="0" formatRows="0" sort="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2:D2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45" min="1" max="1"/>
    <col width="44" customWidth="1" style="45" min="2" max="2"/>
    <col width="18" customWidth="1" style="45" min="3" max="3"/>
    <col width="66" customWidth="1" style="45" min="4" max="4"/>
  </cols>
  <sheetData>
    <row r="2" ht="19.7" customHeight="1" s="46">
      <c r="B2" s="47" t="inlineStr">
        <is>
          <t>Summary</t>
        </is>
      </c>
    </row>
    <row r="3" ht="15" customHeight="1" s="46">
      <c r="B3" s="58" t="inlineStr">
        <is>
          <t>Measure</t>
        </is>
      </c>
      <c r="C3" s="58" t="inlineStr">
        <is>
          <t>Value</t>
        </is>
      </c>
      <c r="D3" s="58" t="inlineStr">
        <is>
          <t>Note</t>
        </is>
      </c>
    </row>
    <row r="4" ht="15" customHeight="1" s="46">
      <c r="B4" s="59" t="inlineStr">
        <is>
          <t>On-shelf date</t>
        </is>
      </c>
      <c r="C4" s="73">
        <f>Setup!C10</f>
        <v>46342</v>
      </c>
      <c r="D4" s="48" t="inlineStr">
        <is>
          <t>Stock must be sellable by this date.</t>
        </is>
      </c>
    </row>
    <row r="5" ht="15" customHeight="1" s="46">
      <c r="B5" s="59" t="inlineStr">
        <is>
          <t>Days until on-shelf date</t>
        </is>
      </c>
      <c r="C5" s="74">
        <f>Setup!C10-Setup!C4</f>
        <v>42</v>
      </c>
      <c r="D5" s="48" t="n"/>
    </row>
    <row r="6" ht="15" customHeight="1" s="46">
      <c r="B6" s="59" t="inlineStr">
        <is>
          <t>SKUs in the plan</t>
        </is>
      </c>
      <c r="C6" s="74">
        <f>COUNTA(Plan!$A$6:$A$205)</f>
        <v>3</v>
      </c>
      <c r="D6" s="48" t="n"/>
    </row>
    <row r="7" ht="15" customHeight="1" s="46">
      <c r="B7" s="59" t="inlineStr">
        <is>
          <t>SKUs with missing inputs</t>
        </is>
      </c>
      <c r="C7" s="74">
        <f>COUNTIF(Plan!$R$6:$R$205,"Missing*")+COUNTIF(Plan!$R$6:$R$205,"Unknown*")</f>
        <v>0</v>
      </c>
      <c r="D7" s="48" t="inlineStr">
        <is>
          <t>These rows are not calculated. Fix them on the Plan sheet first.</t>
        </is>
      </c>
    </row>
    <row r="8" ht="15" customHeight="1" s="46">
      <c r="B8" s="59" t="inlineStr">
        <is>
          <t>SKUs that need an order</t>
        </is>
      </c>
      <c r="C8" s="74">
        <f>COUNTIF(Plan!$AB$6:$AB$205,"&gt;0")</f>
        <v>3</v>
      </c>
      <c r="D8" s="48" t="n"/>
    </row>
    <row r="9" ht="15" customHeight="1" s="46">
      <c r="B9" s="59" t="inlineStr">
        <is>
          <t>Units to order</t>
        </is>
      </c>
      <c r="C9" s="75">
        <f>SUM(Plan!$AB$6:$AB$205)</f>
        <v>5134</v>
      </c>
      <c r="D9" s="48" t="n"/>
    </row>
    <row r="10" ht="15" customHeight="1" s="46">
      <c r="B10" s="59" t="inlineStr">
        <is>
          <t>Order cost</t>
        </is>
      </c>
      <c r="C10" s="75">
        <f>SUM(Plan!$AC$6:$AC$205)</f>
        <v>67738</v>
      </c>
      <c r="D10" s="48" t="inlineStr">
        <is>
          <t>Same currency as unit cost.</t>
        </is>
      </c>
    </row>
    <row r="11" ht="15" customHeight="1" s="46">
      <c r="B11" s="59" t="inlineStr">
        <is>
          <t>Earliest PO deadline still open</t>
        </is>
      </c>
      <c r="C11" s="73">
        <f t="array" ref="C11:C11">IF(COUNTIF(Plan!$AF$6:$AF$205,"Order by the deadline")=0,"None",MIN(IF(Plan!$AF$6:$AF$205="Order by the deadline",Plan!$AE$6:$AE$205)))</f>
        <v>46315</v>
      </c>
      <c r="D11" s="48" t="inlineStr">
        <is>
          <t>Place this PO first.</t>
        </is>
      </c>
    </row>
    <row r="12" ht="15" customHeight="1" s="46">
      <c r="B12" s="59" t="inlineStr">
        <is>
          <t>SKUs late by their mode but still reachable</t>
        </is>
      </c>
      <c r="C12" s="74">
        <f>COUNTIF(Plan!$AF$6:$AF$205,"Late*")</f>
        <v>1</v>
      </c>
      <c r="D12" s="48" t="inlineStr">
        <is>
          <t>Air or Express still makes the on-shelf date. Change the freight mode on the Plan sheet.</t>
        </is>
      </c>
    </row>
    <row r="13" ht="15" customHeight="1" s="46">
      <c r="B13" s="67" t="inlineStr">
        <is>
          <t>SKUs that land late, but before Black Friday</t>
        </is>
      </c>
      <c r="C13" s="76">
        <f>COUNTIF(Plan!$AF$6:$AF$205,"Tight*")</f>
        <v>1</v>
      </c>
      <c r="D13" s="69" t="inlineStr">
        <is>
          <t>Sellable after your on-shelf date but before the sale starts. No room for delays, and no early-access sale.</t>
        </is>
      </c>
    </row>
    <row r="14" ht="15" customHeight="1" s="46">
      <c r="B14" s="59" t="inlineStr">
        <is>
          <t>SKUs too late to restock</t>
        </is>
      </c>
      <c r="C14" s="74">
        <f>COUNTIF(Plan!$AF$6:$AF$205,"Too late: ration")</f>
        <v>0</v>
      </c>
      <c r="D14" s="48" t="inlineStr">
        <is>
          <t>Plan to ration these with the Weekend sheet.</t>
        </is>
      </c>
    </row>
    <row r="15" ht="15" customHeight="1" s="46">
      <c r="B15" s="59" t="inlineStr">
        <is>
          <t>SKUs that run out before stock arrives</t>
        </is>
      </c>
      <c r="C15" s="74">
        <f>COUNTIF(Plan!$AI$6:$AI$205,"Runs out*")</f>
        <v>1</v>
      </c>
      <c r="D15" s="48" t="inlineStr">
        <is>
          <t>Stock on hand does not last until the next delivery can be sellable.</t>
        </is>
      </c>
    </row>
    <row r="16" ht="15" customHeight="1" s="46">
      <c r="B16" s="59" t="inlineStr">
        <is>
          <t>Units needed first</t>
        </is>
      </c>
      <c r="C16" s="75">
        <f>SUM(Plan!$AJ$6:$AJ$205)</f>
        <v>3300</v>
      </c>
      <c r="D16" s="48" t="inlineStr">
        <is>
          <t>Must be sellable by the on-shelf date. Covers the sale and the days after it set in Setup.</t>
        </is>
      </c>
    </row>
    <row r="17" ht="15" customHeight="1" s="46">
      <c r="B17" s="59" t="inlineStr">
        <is>
          <t>Units that can land later</t>
        </is>
      </c>
      <c r="C17" s="75">
        <f>SUM(Plan!$AK$6:$AK$205)</f>
        <v>1834</v>
      </c>
      <c r="D17" s="48" t="inlineStr">
        <is>
          <t>Only where the Plan sheet confirms the slower shipment lands in time.</t>
        </is>
      </c>
    </row>
    <row r="18" ht="15" customHeight="1" s="46">
      <c r="B18" s="59" t="inlineStr">
        <is>
          <t>Budget</t>
        </is>
      </c>
      <c r="C18" s="75" t="str">
        <f>IF(Setup!C21="","No limit",Setup!C21)</f>
        <v>No limit</v>
      </c>
      <c r="D18" s="48" t="n"/>
    </row>
    <row r="19" ht="15" customHeight="1" s="46">
      <c r="B19" s="59" t="inlineStr">
        <is>
          <t>Cost of funded orders</t>
        </is>
      </c>
      <c r="C19" s="75">
        <f>SUMIF(Plan!$AQ$6:$AQ$205,"Fund",Plan!$AC$6:$AC$205)</f>
        <v>67738</v>
      </c>
      <c r="D19" s="48" t="n"/>
    </row>
    <row r="20" ht="15" customHeight="1" s="46">
      <c r="B20" s="59" t="inlineStr">
        <is>
          <t>SKUs cut by the budget</t>
        </is>
      </c>
      <c r="C20" s="74">
        <f>COUNTIF(Plan!$AQ$6:$AQ$205,"Cut")</f>
        <v>0</v>
      </c>
      <c r="D20" s="48" t="inlineStr">
        <is>
          <t>See the Buy list sheet for the order of priority.</t>
        </is>
      </c>
    </row>
  </sheetData>
  <sheetProtection selectLockedCells="0" selectUnlockedCells="0" sheet="1" objects="0" insertRows="1" insertHyperlinks="1" autoFilter="1" scenarios="0" formatColumns="0" deleteColumns="1" insertColumns="1" pivotTables="1" deleteRows="1" formatCells="0" formatRows="0" sort="1"/>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H204"/>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45" min="1" max="2"/>
    <col width="18" customWidth="1" style="45" min="3" max="3"/>
    <col width="30" customWidth="1" style="45" min="4" max="4"/>
    <col width="12" customWidth="1" style="45" min="5" max="5"/>
    <col width="14" customWidth="1" style="45" min="6" max="6"/>
    <col width="12" customWidth="1" style="45" min="7" max="7"/>
    <col width="16" customWidth="1" style="45" min="8" max="8"/>
  </cols>
  <sheetData>
    <row r="1" ht="19.7" customHeight="1" s="46">
      <c r="A1" s="47" t="inlineStr">
        <is>
          <t>Buy list</t>
        </is>
      </c>
    </row>
    <row r="2" ht="15" customHeight="1" s="46">
      <c r="A2" s="48" t="inlineStr">
        <is>
          <t>Orders in priority order: evergreen SKUs first, then by margin earned per unit of money in stock. With a budget in Setup, each order is funded if it still fits in what is left. Calculated, do not edit.</t>
        </is>
      </c>
    </row>
    <row r="4" ht="23.85" customHeight="1" s="46">
      <c r="A4" s="77" t="inlineStr">
        <is>
          <t>Priority</t>
        </is>
      </c>
      <c r="B4" s="77" t="inlineStr">
        <is>
          <t>Plan row</t>
        </is>
      </c>
      <c r="C4" s="77" t="inlineStr">
        <is>
          <t>SKU</t>
        </is>
      </c>
      <c r="D4" s="77" t="inlineStr">
        <is>
          <t>Product</t>
        </is>
      </c>
      <c r="E4" s="77" t="inlineStr">
        <is>
          <t>Order quantity</t>
        </is>
      </c>
      <c r="F4" s="77" t="inlineStr">
        <is>
          <t>Order cost</t>
        </is>
      </c>
      <c r="G4" s="77" t="inlineStr">
        <is>
          <t>Decision</t>
        </is>
      </c>
      <c r="H4" s="77" t="inlineStr">
        <is>
          <t>Budget used so far</t>
        </is>
      </c>
    </row>
    <row r="5" ht="15" customHeight="1" s="46">
      <c r="A5" s="78" t="n">
        <v>1</v>
      </c>
      <c r="B5" s="78">
        <f>IFERROR(MATCH($A5,Plan!$AP$6:$AP$205,0),"")</f>
        <v>1</v>
      </c>
      <c r="C5" s="78" t="str">
        <f>IF($B5="","",INDEX(Plan!$A$6:$A$205,$B5))</f>
        <v>HOODIE-BLK</v>
      </c>
      <c r="D5" s="78" t="str">
        <f>IF($B5="","",INDEX(Plan!$B$6:$B$205,$B5)&amp;"")</f>
        <v>Black hoodie (example)</v>
      </c>
      <c r="E5" s="78">
        <f>IF($B5="","",INDEX(Plan!$AB$6:$AB$205,$B5))</f>
        <v>2450</v>
      </c>
      <c r="F5" s="78">
        <f>IF($B5="","",INDEX(Plan!$AC$6:$AC$205,$B5))</f>
        <v>41650</v>
      </c>
      <c r="G5" s="79" t="str">
        <f>IF($B5="","",IF(Setup!$C$21="","Fund",IF($F5+0&lt;=Setup!$C$21,"Fund","Cut")))</f>
        <v>Fund</v>
      </c>
      <c r="H5" s="78">
        <f>IF($B5="",0,0+IF($G5="Fund",$F5,0))</f>
        <v>41650</v>
      </c>
    </row>
    <row r="6" ht="15" customHeight="1" s="46">
      <c r="A6" s="78" t="n">
        <v>2</v>
      </c>
      <c r="B6" s="78">
        <f>IFERROR(MATCH($A6,Plan!$AP$6:$AP$205,0),"")</f>
        <v>2</v>
      </c>
      <c r="C6" s="78" t="str">
        <f>IF($B6="","",INDEX(Plan!$A$6:$A$205,$B6))</f>
        <v>TEE-WHT</v>
      </c>
      <c r="D6" s="78" t="str">
        <f>IF($B6="","",INDEX(Plan!$B$6:$B$205,$B6)&amp;"")</f>
        <v>White tee (example)</v>
      </c>
      <c r="E6" s="78">
        <f>IF($B6="","",INDEX(Plan!$AB$6:$AB$205,$B6))</f>
        <v>2060</v>
      </c>
      <c r="F6" s="78">
        <f>IF($B6="","",INDEX(Plan!$AC$6:$AC$205,$B6))</f>
        <v>12360</v>
      </c>
      <c r="G6" s="79" t="str">
        <f>IF($B6="","",IF(Setup!$C$21="","Fund",IF($F6+$H5&lt;=Setup!$C$21,"Fund","Cut")))</f>
        <v>Fund</v>
      </c>
      <c r="H6" s="78">
        <f>IF($B6="",$H5,$H5+IF($G6="Fund",$F6,0))</f>
        <v>54010</v>
      </c>
    </row>
    <row r="7" ht="15" customHeight="1" s="46">
      <c r="A7" s="78" t="n">
        <v>3</v>
      </c>
      <c r="B7" s="78">
        <f>IFERROR(MATCH($A7,Plan!$AP$6:$AP$205,0),"")</f>
        <v>3</v>
      </c>
      <c r="C7" s="78" t="str">
        <f>IF($B7="","",INDEX(Plan!$A$6:$A$205,$B7))</f>
        <v>GIFT-SET</v>
      </c>
      <c r="D7" s="78" t="str">
        <f>IF($B7="","",INDEX(Plan!$B$6:$B$205,$B7)&amp;"")</f>
        <v>Holiday gift set (example)</v>
      </c>
      <c r="E7" s="78">
        <f>IF($B7="","",INDEX(Plan!$AB$6:$AB$205,$B7))</f>
        <v>624</v>
      </c>
      <c r="F7" s="78">
        <f>IF($B7="","",INDEX(Plan!$AC$6:$AC$205,$B7))</f>
        <v>13728</v>
      </c>
      <c r="G7" s="79" t="str">
        <f>IF($B7="","",IF(Setup!$C$21="","Fund",IF($F7+$H6&lt;=Setup!$C$21,"Fund","Cut")))</f>
        <v>Fund</v>
      </c>
      <c r="H7" s="78">
        <f>IF($B7="",$H6,$H6+IF($G7="Fund",$F7,0))</f>
        <v>67738</v>
      </c>
    </row>
    <row r="8" ht="15" customHeight="1" s="46">
      <c r="A8" s="78" t="n">
        <v>4</v>
      </c>
      <c r="B8" s="78" t="str">
        <f>IFERROR(MATCH($A8,Plan!$AP$6:$AP$205,0),"")</f>
        <v/>
      </c>
      <c r="C8" s="78" t="str">
        <f>IF($B8="","",INDEX(Plan!$A$6:$A$205,$B8))</f>
        <v/>
      </c>
      <c r="D8" s="78" t="str">
        <f>IF($B8="","",INDEX(Plan!$B$6:$B$205,$B8)&amp;"")</f>
        <v/>
      </c>
      <c r="E8" s="78" t="str">
        <f>IF($B8="","",INDEX(Plan!$AB$6:$AB$205,$B8))</f>
        <v/>
      </c>
      <c r="F8" s="78" t="str">
        <f>IF($B8="","",INDEX(Plan!$AC$6:$AC$205,$B8))</f>
        <v/>
      </c>
      <c r="G8" s="79" t="str">
        <f>IF($B8="","",IF(Setup!$C$21="","Fund",IF($F8+$H7&lt;=Setup!$C$21,"Fund","Cut")))</f>
        <v/>
      </c>
      <c r="H8" s="78">
        <f>IF($B8="",$H7,$H7+IF($G8="Fund",$F8,0))</f>
        <v>67738</v>
      </c>
    </row>
    <row r="9" ht="15" customHeight="1" s="46">
      <c r="A9" s="78" t="n">
        <v>5</v>
      </c>
      <c r="B9" s="78" t="str">
        <f>IFERROR(MATCH($A9,Plan!$AP$6:$AP$205,0),"")</f>
        <v/>
      </c>
      <c r="C9" s="78" t="str">
        <f>IF($B9="","",INDEX(Plan!$A$6:$A$205,$B9))</f>
        <v/>
      </c>
      <c r="D9" s="78" t="str">
        <f>IF($B9="","",INDEX(Plan!$B$6:$B$205,$B9)&amp;"")</f>
        <v/>
      </c>
      <c r="E9" s="78" t="str">
        <f>IF($B9="","",INDEX(Plan!$AB$6:$AB$205,$B9))</f>
        <v/>
      </c>
      <c r="F9" s="78" t="str">
        <f>IF($B9="","",INDEX(Plan!$AC$6:$AC$205,$B9))</f>
        <v/>
      </c>
      <c r="G9" s="79" t="str">
        <f>IF($B9="","",IF(Setup!$C$21="","Fund",IF($F9+$H8&lt;=Setup!$C$21,"Fund","Cut")))</f>
        <v/>
      </c>
      <c r="H9" s="78">
        <f>IF($B9="",$H8,$H8+IF($G9="Fund",$F9,0))</f>
        <v>67738</v>
      </c>
    </row>
    <row r="10" ht="15" customHeight="1" s="46">
      <c r="A10" s="78" t="n">
        <v>6</v>
      </c>
      <c r="B10" s="78" t="str">
        <f>IFERROR(MATCH($A10,Plan!$AP$6:$AP$205,0),"")</f>
        <v/>
      </c>
      <c r="C10" s="78" t="str">
        <f>IF($B10="","",INDEX(Plan!$A$6:$A$205,$B10))</f>
        <v/>
      </c>
      <c r="D10" s="78" t="str">
        <f>IF($B10="","",INDEX(Plan!$B$6:$B$205,$B10)&amp;"")</f>
        <v/>
      </c>
      <c r="E10" s="78" t="str">
        <f>IF($B10="","",INDEX(Plan!$AB$6:$AB$205,$B10))</f>
        <v/>
      </c>
      <c r="F10" s="78" t="str">
        <f>IF($B10="","",INDEX(Plan!$AC$6:$AC$205,$B10))</f>
        <v/>
      </c>
      <c r="G10" s="79" t="str">
        <f>IF($B10="","",IF(Setup!$C$21="","Fund",IF($F10+$H9&lt;=Setup!$C$21,"Fund","Cut")))</f>
        <v/>
      </c>
      <c r="H10" s="78">
        <f>IF($B10="",$H9,$H9+IF($G10="Fund",$F10,0))</f>
        <v>67738</v>
      </c>
    </row>
    <row r="11" ht="15" customHeight="1" s="46">
      <c r="A11" s="78" t="n">
        <v>7</v>
      </c>
      <c r="B11" s="78" t="str">
        <f>IFERROR(MATCH($A11,Plan!$AP$6:$AP$205,0),"")</f>
        <v/>
      </c>
      <c r="C11" s="78" t="str">
        <f>IF($B11="","",INDEX(Plan!$A$6:$A$205,$B11))</f>
        <v/>
      </c>
      <c r="D11" s="78" t="str">
        <f>IF($B11="","",INDEX(Plan!$B$6:$B$205,$B11)&amp;"")</f>
        <v/>
      </c>
      <c r="E11" s="78" t="str">
        <f>IF($B11="","",INDEX(Plan!$AB$6:$AB$205,$B11))</f>
        <v/>
      </c>
      <c r="F11" s="78" t="str">
        <f>IF($B11="","",INDEX(Plan!$AC$6:$AC$205,$B11))</f>
        <v/>
      </c>
      <c r="G11" s="79" t="str">
        <f>IF($B11="","",IF(Setup!$C$21="","Fund",IF($F11+$H10&lt;=Setup!$C$21,"Fund","Cut")))</f>
        <v/>
      </c>
      <c r="H11" s="78">
        <f>IF($B11="",$H10,$H10+IF($G11="Fund",$F11,0))</f>
        <v>67738</v>
      </c>
    </row>
    <row r="12" ht="15" customHeight="1" s="46">
      <c r="A12" s="78" t="n">
        <v>8</v>
      </c>
      <c r="B12" s="78" t="str">
        <f>IFERROR(MATCH($A12,Plan!$AP$6:$AP$205,0),"")</f>
        <v/>
      </c>
      <c r="C12" s="78" t="str">
        <f>IF($B12="","",INDEX(Plan!$A$6:$A$205,$B12))</f>
        <v/>
      </c>
      <c r="D12" s="78" t="str">
        <f>IF($B12="","",INDEX(Plan!$B$6:$B$205,$B12)&amp;"")</f>
        <v/>
      </c>
      <c r="E12" s="78" t="str">
        <f>IF($B12="","",INDEX(Plan!$AB$6:$AB$205,$B12))</f>
        <v/>
      </c>
      <c r="F12" s="78" t="str">
        <f>IF($B12="","",INDEX(Plan!$AC$6:$AC$205,$B12))</f>
        <v/>
      </c>
      <c r="G12" s="79" t="str">
        <f>IF($B12="","",IF(Setup!$C$21="","Fund",IF($F12+$H11&lt;=Setup!$C$21,"Fund","Cut")))</f>
        <v/>
      </c>
      <c r="H12" s="78">
        <f>IF($B12="",$H11,$H11+IF($G12="Fund",$F12,0))</f>
        <v>67738</v>
      </c>
    </row>
    <row r="13" ht="15" customHeight="1" s="46">
      <c r="A13" s="78" t="n">
        <v>9</v>
      </c>
      <c r="B13" s="78" t="str">
        <f>IFERROR(MATCH($A13,Plan!$AP$6:$AP$205,0),"")</f>
        <v/>
      </c>
      <c r="C13" s="78" t="str">
        <f>IF($B13="","",INDEX(Plan!$A$6:$A$205,$B13))</f>
        <v/>
      </c>
      <c r="D13" s="78" t="str">
        <f>IF($B13="","",INDEX(Plan!$B$6:$B$205,$B13)&amp;"")</f>
        <v/>
      </c>
      <c r="E13" s="78" t="str">
        <f>IF($B13="","",INDEX(Plan!$AB$6:$AB$205,$B13))</f>
        <v/>
      </c>
      <c r="F13" s="78" t="str">
        <f>IF($B13="","",INDEX(Plan!$AC$6:$AC$205,$B13))</f>
        <v/>
      </c>
      <c r="G13" s="79" t="str">
        <f>IF($B13="","",IF(Setup!$C$21="","Fund",IF($F13+$H12&lt;=Setup!$C$21,"Fund","Cut")))</f>
        <v/>
      </c>
      <c r="H13" s="78">
        <f>IF($B13="",$H12,$H12+IF($G13="Fund",$F13,0))</f>
        <v>67738</v>
      </c>
    </row>
    <row r="14" ht="15" customHeight="1" s="46">
      <c r="A14" s="78" t="n">
        <v>10</v>
      </c>
      <c r="B14" s="78" t="str">
        <f>IFERROR(MATCH($A14,Plan!$AP$6:$AP$205,0),"")</f>
        <v/>
      </c>
      <c r="C14" s="78" t="str">
        <f>IF($B14="","",INDEX(Plan!$A$6:$A$205,$B14))</f>
        <v/>
      </c>
      <c r="D14" s="78" t="str">
        <f>IF($B14="","",INDEX(Plan!$B$6:$B$205,$B14)&amp;"")</f>
        <v/>
      </c>
      <c r="E14" s="78" t="str">
        <f>IF($B14="","",INDEX(Plan!$AB$6:$AB$205,$B14))</f>
        <v/>
      </c>
      <c r="F14" s="78" t="str">
        <f>IF($B14="","",INDEX(Plan!$AC$6:$AC$205,$B14))</f>
        <v/>
      </c>
      <c r="G14" s="79" t="str">
        <f>IF($B14="","",IF(Setup!$C$21="","Fund",IF($F14+$H13&lt;=Setup!$C$21,"Fund","Cut")))</f>
        <v/>
      </c>
      <c r="H14" s="78">
        <f>IF($B14="",$H13,$H13+IF($G14="Fund",$F14,0))</f>
        <v>67738</v>
      </c>
    </row>
    <row r="15" ht="15" customHeight="1" s="46">
      <c r="A15" s="78" t="n">
        <v>11</v>
      </c>
      <c r="B15" s="78" t="str">
        <f>IFERROR(MATCH($A15,Plan!$AP$6:$AP$205,0),"")</f>
        <v/>
      </c>
      <c r="C15" s="78" t="str">
        <f>IF($B15="","",INDEX(Plan!$A$6:$A$205,$B15))</f>
        <v/>
      </c>
      <c r="D15" s="78" t="str">
        <f>IF($B15="","",INDEX(Plan!$B$6:$B$205,$B15)&amp;"")</f>
        <v/>
      </c>
      <c r="E15" s="78" t="str">
        <f>IF($B15="","",INDEX(Plan!$AB$6:$AB$205,$B15))</f>
        <v/>
      </c>
      <c r="F15" s="78" t="str">
        <f>IF($B15="","",INDEX(Plan!$AC$6:$AC$205,$B15))</f>
        <v/>
      </c>
      <c r="G15" s="79" t="str">
        <f>IF($B15="","",IF(Setup!$C$21="","Fund",IF($F15+$H14&lt;=Setup!$C$21,"Fund","Cut")))</f>
        <v/>
      </c>
      <c r="H15" s="78">
        <f>IF($B15="",$H14,$H14+IF($G15="Fund",$F15,0))</f>
        <v>67738</v>
      </c>
    </row>
    <row r="16" ht="15" customHeight="1" s="46">
      <c r="A16" s="78" t="n">
        <v>12</v>
      </c>
      <c r="B16" s="78" t="str">
        <f>IFERROR(MATCH($A16,Plan!$AP$6:$AP$205,0),"")</f>
        <v/>
      </c>
      <c r="C16" s="78" t="str">
        <f>IF($B16="","",INDEX(Plan!$A$6:$A$205,$B16))</f>
        <v/>
      </c>
      <c r="D16" s="78" t="str">
        <f>IF($B16="","",INDEX(Plan!$B$6:$B$205,$B16)&amp;"")</f>
        <v/>
      </c>
      <c r="E16" s="78" t="str">
        <f>IF($B16="","",INDEX(Plan!$AB$6:$AB$205,$B16))</f>
        <v/>
      </c>
      <c r="F16" s="78" t="str">
        <f>IF($B16="","",INDEX(Plan!$AC$6:$AC$205,$B16))</f>
        <v/>
      </c>
      <c r="G16" s="79" t="str">
        <f>IF($B16="","",IF(Setup!$C$21="","Fund",IF($F16+$H15&lt;=Setup!$C$21,"Fund","Cut")))</f>
        <v/>
      </c>
      <c r="H16" s="78">
        <f>IF($B16="",$H15,$H15+IF($G16="Fund",$F16,0))</f>
        <v>67738</v>
      </c>
    </row>
    <row r="17" ht="15" customHeight="1" s="46">
      <c r="A17" s="78" t="n">
        <v>13</v>
      </c>
      <c r="B17" s="78" t="str">
        <f>IFERROR(MATCH($A17,Plan!$AP$6:$AP$205,0),"")</f>
        <v/>
      </c>
      <c r="C17" s="78" t="str">
        <f>IF($B17="","",INDEX(Plan!$A$6:$A$205,$B17))</f>
        <v/>
      </c>
      <c r="D17" s="78" t="str">
        <f>IF($B17="","",INDEX(Plan!$B$6:$B$205,$B17)&amp;"")</f>
        <v/>
      </c>
      <c r="E17" s="78" t="str">
        <f>IF($B17="","",INDEX(Plan!$AB$6:$AB$205,$B17))</f>
        <v/>
      </c>
      <c r="F17" s="78" t="str">
        <f>IF($B17="","",INDEX(Plan!$AC$6:$AC$205,$B17))</f>
        <v/>
      </c>
      <c r="G17" s="79" t="str">
        <f>IF($B17="","",IF(Setup!$C$21="","Fund",IF($F17+$H16&lt;=Setup!$C$21,"Fund","Cut")))</f>
        <v/>
      </c>
      <c r="H17" s="78">
        <f>IF($B17="",$H16,$H16+IF($G17="Fund",$F17,0))</f>
        <v>67738</v>
      </c>
    </row>
    <row r="18" ht="15" customHeight="1" s="46">
      <c r="A18" s="78" t="n">
        <v>14</v>
      </c>
      <c r="B18" s="78" t="str">
        <f>IFERROR(MATCH($A18,Plan!$AP$6:$AP$205,0),"")</f>
        <v/>
      </c>
      <c r="C18" s="78" t="str">
        <f>IF($B18="","",INDEX(Plan!$A$6:$A$205,$B18))</f>
        <v/>
      </c>
      <c r="D18" s="78" t="str">
        <f>IF($B18="","",INDEX(Plan!$B$6:$B$205,$B18)&amp;"")</f>
        <v/>
      </c>
      <c r="E18" s="78" t="str">
        <f>IF($B18="","",INDEX(Plan!$AB$6:$AB$205,$B18))</f>
        <v/>
      </c>
      <c r="F18" s="78" t="str">
        <f>IF($B18="","",INDEX(Plan!$AC$6:$AC$205,$B18))</f>
        <v/>
      </c>
      <c r="G18" s="79" t="str">
        <f>IF($B18="","",IF(Setup!$C$21="","Fund",IF($F18+$H17&lt;=Setup!$C$21,"Fund","Cut")))</f>
        <v/>
      </c>
      <c r="H18" s="78">
        <f>IF($B18="",$H17,$H17+IF($G18="Fund",$F18,0))</f>
        <v>67738</v>
      </c>
    </row>
    <row r="19" ht="15" customHeight="1" s="46">
      <c r="A19" s="78" t="n">
        <v>15</v>
      </c>
      <c r="B19" s="78" t="str">
        <f>IFERROR(MATCH($A19,Plan!$AP$6:$AP$205,0),"")</f>
        <v/>
      </c>
      <c r="C19" s="78" t="str">
        <f>IF($B19="","",INDEX(Plan!$A$6:$A$205,$B19))</f>
        <v/>
      </c>
      <c r="D19" s="78" t="str">
        <f>IF($B19="","",INDEX(Plan!$B$6:$B$205,$B19)&amp;"")</f>
        <v/>
      </c>
      <c r="E19" s="78" t="str">
        <f>IF($B19="","",INDEX(Plan!$AB$6:$AB$205,$B19))</f>
        <v/>
      </c>
      <c r="F19" s="78" t="str">
        <f>IF($B19="","",INDEX(Plan!$AC$6:$AC$205,$B19))</f>
        <v/>
      </c>
      <c r="G19" s="79" t="str">
        <f>IF($B19="","",IF(Setup!$C$21="","Fund",IF($F19+$H18&lt;=Setup!$C$21,"Fund","Cut")))</f>
        <v/>
      </c>
      <c r="H19" s="78">
        <f>IF($B19="",$H18,$H18+IF($G19="Fund",$F19,0))</f>
        <v>67738</v>
      </c>
    </row>
    <row r="20" ht="15" customHeight="1" s="46">
      <c r="A20" s="78" t="n">
        <v>16</v>
      </c>
      <c r="B20" s="78" t="str">
        <f>IFERROR(MATCH($A20,Plan!$AP$6:$AP$205,0),"")</f>
        <v/>
      </c>
      <c r="C20" s="78" t="str">
        <f>IF($B20="","",INDEX(Plan!$A$6:$A$205,$B20))</f>
        <v/>
      </c>
      <c r="D20" s="78" t="str">
        <f>IF($B20="","",INDEX(Plan!$B$6:$B$205,$B20)&amp;"")</f>
        <v/>
      </c>
      <c r="E20" s="78" t="str">
        <f>IF($B20="","",INDEX(Plan!$AB$6:$AB$205,$B20))</f>
        <v/>
      </c>
      <c r="F20" s="78" t="str">
        <f>IF($B20="","",INDEX(Plan!$AC$6:$AC$205,$B20))</f>
        <v/>
      </c>
      <c r="G20" s="79" t="str">
        <f>IF($B20="","",IF(Setup!$C$21="","Fund",IF($F20+$H19&lt;=Setup!$C$21,"Fund","Cut")))</f>
        <v/>
      </c>
      <c r="H20" s="78">
        <f>IF($B20="",$H19,$H19+IF($G20="Fund",$F20,0))</f>
        <v>67738</v>
      </c>
    </row>
    <row r="21" ht="15" customHeight="1" s="46">
      <c r="A21" s="78" t="n">
        <v>17</v>
      </c>
      <c r="B21" s="78" t="str">
        <f>IFERROR(MATCH($A21,Plan!$AP$6:$AP$205,0),"")</f>
        <v/>
      </c>
      <c r="C21" s="78" t="str">
        <f>IF($B21="","",INDEX(Plan!$A$6:$A$205,$B21))</f>
        <v/>
      </c>
      <c r="D21" s="78" t="str">
        <f>IF($B21="","",INDEX(Plan!$B$6:$B$205,$B21)&amp;"")</f>
        <v/>
      </c>
      <c r="E21" s="78" t="str">
        <f>IF($B21="","",INDEX(Plan!$AB$6:$AB$205,$B21))</f>
        <v/>
      </c>
      <c r="F21" s="78" t="str">
        <f>IF($B21="","",INDEX(Plan!$AC$6:$AC$205,$B21))</f>
        <v/>
      </c>
      <c r="G21" s="79" t="str">
        <f>IF($B21="","",IF(Setup!$C$21="","Fund",IF($F21+$H20&lt;=Setup!$C$21,"Fund","Cut")))</f>
        <v/>
      </c>
      <c r="H21" s="78">
        <f>IF($B21="",$H20,$H20+IF($G21="Fund",$F21,0))</f>
        <v>67738</v>
      </c>
    </row>
    <row r="22" ht="15" customHeight="1" s="46">
      <c r="A22" s="78" t="n">
        <v>18</v>
      </c>
      <c r="B22" s="78" t="str">
        <f>IFERROR(MATCH($A22,Plan!$AP$6:$AP$205,0),"")</f>
        <v/>
      </c>
      <c r="C22" s="78" t="str">
        <f>IF($B22="","",INDEX(Plan!$A$6:$A$205,$B22))</f>
        <v/>
      </c>
      <c r="D22" s="78" t="str">
        <f>IF($B22="","",INDEX(Plan!$B$6:$B$205,$B22)&amp;"")</f>
        <v/>
      </c>
      <c r="E22" s="78" t="str">
        <f>IF($B22="","",INDEX(Plan!$AB$6:$AB$205,$B22))</f>
        <v/>
      </c>
      <c r="F22" s="78" t="str">
        <f>IF($B22="","",INDEX(Plan!$AC$6:$AC$205,$B22))</f>
        <v/>
      </c>
      <c r="G22" s="79" t="str">
        <f>IF($B22="","",IF(Setup!$C$21="","Fund",IF($F22+$H21&lt;=Setup!$C$21,"Fund","Cut")))</f>
        <v/>
      </c>
      <c r="H22" s="78">
        <f>IF($B22="",$H21,$H21+IF($G22="Fund",$F22,0))</f>
        <v>67738</v>
      </c>
    </row>
    <row r="23" ht="15" customHeight="1" s="46">
      <c r="A23" s="78" t="n">
        <v>19</v>
      </c>
      <c r="B23" s="78" t="str">
        <f>IFERROR(MATCH($A23,Plan!$AP$6:$AP$205,0),"")</f>
        <v/>
      </c>
      <c r="C23" s="78" t="str">
        <f>IF($B23="","",INDEX(Plan!$A$6:$A$205,$B23))</f>
        <v/>
      </c>
      <c r="D23" s="78" t="str">
        <f>IF($B23="","",INDEX(Plan!$B$6:$B$205,$B23)&amp;"")</f>
        <v/>
      </c>
      <c r="E23" s="78" t="str">
        <f>IF($B23="","",INDEX(Plan!$AB$6:$AB$205,$B23))</f>
        <v/>
      </c>
      <c r="F23" s="78" t="str">
        <f>IF($B23="","",INDEX(Plan!$AC$6:$AC$205,$B23))</f>
        <v/>
      </c>
      <c r="G23" s="79" t="str">
        <f>IF($B23="","",IF(Setup!$C$21="","Fund",IF($F23+$H22&lt;=Setup!$C$21,"Fund","Cut")))</f>
        <v/>
      </c>
      <c r="H23" s="78">
        <f>IF($B23="",$H22,$H22+IF($G23="Fund",$F23,0))</f>
        <v>67738</v>
      </c>
    </row>
    <row r="24" ht="15" customHeight="1" s="46">
      <c r="A24" s="78" t="n">
        <v>20</v>
      </c>
      <c r="B24" s="78" t="str">
        <f>IFERROR(MATCH($A24,Plan!$AP$6:$AP$205,0),"")</f>
        <v/>
      </c>
      <c r="C24" s="78" t="str">
        <f>IF($B24="","",INDEX(Plan!$A$6:$A$205,$B24))</f>
        <v/>
      </c>
      <c r="D24" s="78" t="str">
        <f>IF($B24="","",INDEX(Plan!$B$6:$B$205,$B24)&amp;"")</f>
        <v/>
      </c>
      <c r="E24" s="78" t="str">
        <f>IF($B24="","",INDEX(Plan!$AB$6:$AB$205,$B24))</f>
        <v/>
      </c>
      <c r="F24" s="78" t="str">
        <f>IF($B24="","",INDEX(Plan!$AC$6:$AC$205,$B24))</f>
        <v/>
      </c>
      <c r="G24" s="79" t="str">
        <f>IF($B24="","",IF(Setup!$C$21="","Fund",IF($F24+$H23&lt;=Setup!$C$21,"Fund","Cut")))</f>
        <v/>
      </c>
      <c r="H24" s="78">
        <f>IF($B24="",$H23,$H23+IF($G24="Fund",$F24,0))</f>
        <v>67738</v>
      </c>
    </row>
    <row r="25" ht="15" customHeight="1" s="46">
      <c r="A25" s="78" t="n">
        <v>21</v>
      </c>
      <c r="B25" s="78" t="str">
        <f>IFERROR(MATCH($A25,Plan!$AP$6:$AP$205,0),"")</f>
        <v/>
      </c>
      <c r="C25" s="78" t="str">
        <f>IF($B25="","",INDEX(Plan!$A$6:$A$205,$B25))</f>
        <v/>
      </c>
      <c r="D25" s="78" t="str">
        <f>IF($B25="","",INDEX(Plan!$B$6:$B$205,$B25)&amp;"")</f>
        <v/>
      </c>
      <c r="E25" s="78" t="str">
        <f>IF($B25="","",INDEX(Plan!$AB$6:$AB$205,$B25))</f>
        <v/>
      </c>
      <c r="F25" s="78" t="str">
        <f>IF($B25="","",INDEX(Plan!$AC$6:$AC$205,$B25))</f>
        <v/>
      </c>
      <c r="G25" s="79" t="str">
        <f>IF($B25="","",IF(Setup!$C$21="","Fund",IF($F25+$H24&lt;=Setup!$C$21,"Fund","Cut")))</f>
        <v/>
      </c>
      <c r="H25" s="78">
        <f>IF($B25="",$H24,$H24+IF($G25="Fund",$F25,0))</f>
        <v>67738</v>
      </c>
    </row>
    <row r="26" ht="15" customHeight="1" s="46">
      <c r="A26" s="78" t="n">
        <v>22</v>
      </c>
      <c r="B26" s="78" t="str">
        <f>IFERROR(MATCH($A26,Plan!$AP$6:$AP$205,0),"")</f>
        <v/>
      </c>
      <c r="C26" s="78" t="str">
        <f>IF($B26="","",INDEX(Plan!$A$6:$A$205,$B26))</f>
        <v/>
      </c>
      <c r="D26" s="78" t="str">
        <f>IF($B26="","",INDEX(Plan!$B$6:$B$205,$B26)&amp;"")</f>
        <v/>
      </c>
      <c r="E26" s="78" t="str">
        <f>IF($B26="","",INDEX(Plan!$AB$6:$AB$205,$B26))</f>
        <v/>
      </c>
      <c r="F26" s="78" t="str">
        <f>IF($B26="","",INDEX(Plan!$AC$6:$AC$205,$B26))</f>
        <v/>
      </c>
      <c r="G26" s="79" t="str">
        <f>IF($B26="","",IF(Setup!$C$21="","Fund",IF($F26+$H25&lt;=Setup!$C$21,"Fund","Cut")))</f>
        <v/>
      </c>
      <c r="H26" s="78">
        <f>IF($B26="",$H25,$H25+IF($G26="Fund",$F26,0))</f>
        <v>67738</v>
      </c>
    </row>
    <row r="27" ht="15" customHeight="1" s="46">
      <c r="A27" s="78" t="n">
        <v>23</v>
      </c>
      <c r="B27" s="78" t="str">
        <f>IFERROR(MATCH($A27,Plan!$AP$6:$AP$205,0),"")</f>
        <v/>
      </c>
      <c r="C27" s="78" t="str">
        <f>IF($B27="","",INDEX(Plan!$A$6:$A$205,$B27))</f>
        <v/>
      </c>
      <c r="D27" s="78" t="str">
        <f>IF($B27="","",INDEX(Plan!$B$6:$B$205,$B27)&amp;"")</f>
        <v/>
      </c>
      <c r="E27" s="78" t="str">
        <f>IF($B27="","",INDEX(Plan!$AB$6:$AB$205,$B27))</f>
        <v/>
      </c>
      <c r="F27" s="78" t="str">
        <f>IF($B27="","",INDEX(Plan!$AC$6:$AC$205,$B27))</f>
        <v/>
      </c>
      <c r="G27" s="79" t="str">
        <f>IF($B27="","",IF(Setup!$C$21="","Fund",IF($F27+$H26&lt;=Setup!$C$21,"Fund","Cut")))</f>
        <v/>
      </c>
      <c r="H27" s="78">
        <f>IF($B27="",$H26,$H26+IF($G27="Fund",$F27,0))</f>
        <v>67738</v>
      </c>
    </row>
    <row r="28" ht="15" customHeight="1" s="46">
      <c r="A28" s="78" t="n">
        <v>24</v>
      </c>
      <c r="B28" s="78" t="str">
        <f>IFERROR(MATCH($A28,Plan!$AP$6:$AP$205,0),"")</f>
        <v/>
      </c>
      <c r="C28" s="78" t="str">
        <f>IF($B28="","",INDEX(Plan!$A$6:$A$205,$B28))</f>
        <v/>
      </c>
      <c r="D28" s="78" t="str">
        <f>IF($B28="","",INDEX(Plan!$B$6:$B$205,$B28)&amp;"")</f>
        <v/>
      </c>
      <c r="E28" s="78" t="str">
        <f>IF($B28="","",INDEX(Plan!$AB$6:$AB$205,$B28))</f>
        <v/>
      </c>
      <c r="F28" s="78" t="str">
        <f>IF($B28="","",INDEX(Plan!$AC$6:$AC$205,$B28))</f>
        <v/>
      </c>
      <c r="G28" s="79" t="str">
        <f>IF($B28="","",IF(Setup!$C$21="","Fund",IF($F28+$H27&lt;=Setup!$C$21,"Fund","Cut")))</f>
        <v/>
      </c>
      <c r="H28" s="78">
        <f>IF($B28="",$H27,$H27+IF($G28="Fund",$F28,0))</f>
        <v>67738</v>
      </c>
    </row>
    <row r="29" ht="15" customHeight="1" s="46">
      <c r="A29" s="78" t="n">
        <v>25</v>
      </c>
      <c r="B29" s="78" t="str">
        <f>IFERROR(MATCH($A29,Plan!$AP$6:$AP$205,0),"")</f>
        <v/>
      </c>
      <c r="C29" s="78" t="str">
        <f>IF($B29="","",INDEX(Plan!$A$6:$A$205,$B29))</f>
        <v/>
      </c>
      <c r="D29" s="78" t="str">
        <f>IF($B29="","",INDEX(Plan!$B$6:$B$205,$B29)&amp;"")</f>
        <v/>
      </c>
      <c r="E29" s="78" t="str">
        <f>IF($B29="","",INDEX(Plan!$AB$6:$AB$205,$B29))</f>
        <v/>
      </c>
      <c r="F29" s="78" t="str">
        <f>IF($B29="","",INDEX(Plan!$AC$6:$AC$205,$B29))</f>
        <v/>
      </c>
      <c r="G29" s="79" t="str">
        <f>IF($B29="","",IF(Setup!$C$21="","Fund",IF($F29+$H28&lt;=Setup!$C$21,"Fund","Cut")))</f>
        <v/>
      </c>
      <c r="H29" s="78">
        <f>IF($B29="",$H28,$H28+IF($G29="Fund",$F29,0))</f>
        <v>67738</v>
      </c>
    </row>
    <row r="30" ht="15" customHeight="1" s="46">
      <c r="A30" s="78" t="n">
        <v>26</v>
      </c>
      <c r="B30" s="78" t="str">
        <f>IFERROR(MATCH($A30,Plan!$AP$6:$AP$205,0),"")</f>
        <v/>
      </c>
      <c r="C30" s="78" t="str">
        <f>IF($B30="","",INDEX(Plan!$A$6:$A$205,$B30))</f>
        <v/>
      </c>
      <c r="D30" s="78" t="str">
        <f>IF($B30="","",INDEX(Plan!$B$6:$B$205,$B30)&amp;"")</f>
        <v/>
      </c>
      <c r="E30" s="78" t="str">
        <f>IF($B30="","",INDEX(Plan!$AB$6:$AB$205,$B30))</f>
        <v/>
      </c>
      <c r="F30" s="78" t="str">
        <f>IF($B30="","",INDEX(Plan!$AC$6:$AC$205,$B30))</f>
        <v/>
      </c>
      <c r="G30" s="79" t="str">
        <f>IF($B30="","",IF(Setup!$C$21="","Fund",IF($F30+$H29&lt;=Setup!$C$21,"Fund","Cut")))</f>
        <v/>
      </c>
      <c r="H30" s="78">
        <f>IF($B30="",$H29,$H29+IF($G30="Fund",$F30,0))</f>
        <v>67738</v>
      </c>
    </row>
    <row r="31" ht="15" customHeight="1" s="46">
      <c r="A31" s="78" t="n">
        <v>27</v>
      </c>
      <c r="B31" s="78" t="str">
        <f>IFERROR(MATCH($A31,Plan!$AP$6:$AP$205,0),"")</f>
        <v/>
      </c>
      <c r="C31" s="78" t="str">
        <f>IF($B31="","",INDEX(Plan!$A$6:$A$205,$B31))</f>
        <v/>
      </c>
      <c r="D31" s="78" t="str">
        <f>IF($B31="","",INDEX(Plan!$B$6:$B$205,$B31)&amp;"")</f>
        <v/>
      </c>
      <c r="E31" s="78" t="str">
        <f>IF($B31="","",INDEX(Plan!$AB$6:$AB$205,$B31))</f>
        <v/>
      </c>
      <c r="F31" s="78" t="str">
        <f>IF($B31="","",INDEX(Plan!$AC$6:$AC$205,$B31))</f>
        <v/>
      </c>
      <c r="G31" s="79" t="str">
        <f>IF($B31="","",IF(Setup!$C$21="","Fund",IF($F31+$H30&lt;=Setup!$C$21,"Fund","Cut")))</f>
        <v/>
      </c>
      <c r="H31" s="78">
        <f>IF($B31="",$H30,$H30+IF($G31="Fund",$F31,0))</f>
        <v>67738</v>
      </c>
    </row>
    <row r="32" ht="15" customHeight="1" s="46">
      <c r="A32" s="78" t="n">
        <v>28</v>
      </c>
      <c r="B32" s="78" t="str">
        <f>IFERROR(MATCH($A32,Plan!$AP$6:$AP$205,0),"")</f>
        <v/>
      </c>
      <c r="C32" s="78" t="str">
        <f>IF($B32="","",INDEX(Plan!$A$6:$A$205,$B32))</f>
        <v/>
      </c>
      <c r="D32" s="78" t="str">
        <f>IF($B32="","",INDEX(Plan!$B$6:$B$205,$B32)&amp;"")</f>
        <v/>
      </c>
      <c r="E32" s="78" t="str">
        <f>IF($B32="","",INDEX(Plan!$AB$6:$AB$205,$B32))</f>
        <v/>
      </c>
      <c r="F32" s="78" t="str">
        <f>IF($B32="","",INDEX(Plan!$AC$6:$AC$205,$B32))</f>
        <v/>
      </c>
      <c r="G32" s="79" t="str">
        <f>IF($B32="","",IF(Setup!$C$21="","Fund",IF($F32+$H31&lt;=Setup!$C$21,"Fund","Cut")))</f>
        <v/>
      </c>
      <c r="H32" s="78">
        <f>IF($B32="",$H31,$H31+IF($G32="Fund",$F32,0))</f>
        <v>67738</v>
      </c>
    </row>
    <row r="33" ht="15" customHeight="1" s="46">
      <c r="A33" s="78" t="n">
        <v>29</v>
      </c>
      <c r="B33" s="78" t="str">
        <f>IFERROR(MATCH($A33,Plan!$AP$6:$AP$205,0),"")</f>
        <v/>
      </c>
      <c r="C33" s="78" t="str">
        <f>IF($B33="","",INDEX(Plan!$A$6:$A$205,$B33))</f>
        <v/>
      </c>
      <c r="D33" s="78" t="str">
        <f>IF($B33="","",INDEX(Plan!$B$6:$B$205,$B33)&amp;"")</f>
        <v/>
      </c>
      <c r="E33" s="78" t="str">
        <f>IF($B33="","",INDEX(Plan!$AB$6:$AB$205,$B33))</f>
        <v/>
      </c>
      <c r="F33" s="78" t="str">
        <f>IF($B33="","",INDEX(Plan!$AC$6:$AC$205,$B33))</f>
        <v/>
      </c>
      <c r="G33" s="79" t="str">
        <f>IF($B33="","",IF(Setup!$C$21="","Fund",IF($F33+$H32&lt;=Setup!$C$21,"Fund","Cut")))</f>
        <v/>
      </c>
      <c r="H33" s="78">
        <f>IF($B33="",$H32,$H32+IF($G33="Fund",$F33,0))</f>
        <v>67738</v>
      </c>
    </row>
    <row r="34" ht="15" customHeight="1" s="46">
      <c r="A34" s="78" t="n">
        <v>30</v>
      </c>
      <c r="B34" s="78" t="str">
        <f>IFERROR(MATCH($A34,Plan!$AP$6:$AP$205,0),"")</f>
        <v/>
      </c>
      <c r="C34" s="78" t="str">
        <f>IF($B34="","",INDEX(Plan!$A$6:$A$205,$B34))</f>
        <v/>
      </c>
      <c r="D34" s="78" t="str">
        <f>IF($B34="","",INDEX(Plan!$B$6:$B$205,$B34)&amp;"")</f>
        <v/>
      </c>
      <c r="E34" s="78" t="str">
        <f>IF($B34="","",INDEX(Plan!$AB$6:$AB$205,$B34))</f>
        <v/>
      </c>
      <c r="F34" s="78" t="str">
        <f>IF($B34="","",INDEX(Plan!$AC$6:$AC$205,$B34))</f>
        <v/>
      </c>
      <c r="G34" s="79" t="str">
        <f>IF($B34="","",IF(Setup!$C$21="","Fund",IF($F34+$H33&lt;=Setup!$C$21,"Fund","Cut")))</f>
        <v/>
      </c>
      <c r="H34" s="78">
        <f>IF($B34="",$H33,$H33+IF($G34="Fund",$F34,0))</f>
        <v>67738</v>
      </c>
    </row>
    <row r="35" ht="15" customHeight="1" s="46">
      <c r="A35" s="78" t="n">
        <v>31</v>
      </c>
      <c r="B35" s="78" t="str">
        <f>IFERROR(MATCH($A35,Plan!$AP$6:$AP$205,0),"")</f>
        <v/>
      </c>
      <c r="C35" s="78" t="str">
        <f>IF($B35="","",INDEX(Plan!$A$6:$A$205,$B35))</f>
        <v/>
      </c>
      <c r="D35" s="78" t="str">
        <f>IF($B35="","",INDEX(Plan!$B$6:$B$205,$B35)&amp;"")</f>
        <v/>
      </c>
      <c r="E35" s="78" t="str">
        <f>IF($B35="","",INDEX(Plan!$AB$6:$AB$205,$B35))</f>
        <v/>
      </c>
      <c r="F35" s="78" t="str">
        <f>IF($B35="","",INDEX(Plan!$AC$6:$AC$205,$B35))</f>
        <v/>
      </c>
      <c r="G35" s="79" t="str">
        <f>IF($B35="","",IF(Setup!$C$21="","Fund",IF($F35+$H34&lt;=Setup!$C$21,"Fund","Cut")))</f>
        <v/>
      </c>
      <c r="H35" s="78">
        <f>IF($B35="",$H34,$H34+IF($G35="Fund",$F35,0))</f>
        <v>67738</v>
      </c>
    </row>
    <row r="36" ht="15" customHeight="1" s="46">
      <c r="A36" s="78" t="n">
        <v>32</v>
      </c>
      <c r="B36" s="78" t="str">
        <f>IFERROR(MATCH($A36,Plan!$AP$6:$AP$205,0),"")</f>
        <v/>
      </c>
      <c r="C36" s="78" t="str">
        <f>IF($B36="","",INDEX(Plan!$A$6:$A$205,$B36))</f>
        <v/>
      </c>
      <c r="D36" s="78" t="str">
        <f>IF($B36="","",INDEX(Plan!$B$6:$B$205,$B36)&amp;"")</f>
        <v/>
      </c>
      <c r="E36" s="78" t="str">
        <f>IF($B36="","",INDEX(Plan!$AB$6:$AB$205,$B36))</f>
        <v/>
      </c>
      <c r="F36" s="78" t="str">
        <f>IF($B36="","",INDEX(Plan!$AC$6:$AC$205,$B36))</f>
        <v/>
      </c>
      <c r="G36" s="79" t="str">
        <f>IF($B36="","",IF(Setup!$C$21="","Fund",IF($F36+$H35&lt;=Setup!$C$21,"Fund","Cut")))</f>
        <v/>
      </c>
      <c r="H36" s="78">
        <f>IF($B36="",$H35,$H35+IF($G36="Fund",$F36,0))</f>
        <v>67738</v>
      </c>
    </row>
    <row r="37" ht="15" customHeight="1" s="46">
      <c r="A37" s="78" t="n">
        <v>33</v>
      </c>
      <c r="B37" s="78" t="str">
        <f>IFERROR(MATCH($A37,Plan!$AP$6:$AP$205,0),"")</f>
        <v/>
      </c>
      <c r="C37" s="78" t="str">
        <f>IF($B37="","",INDEX(Plan!$A$6:$A$205,$B37))</f>
        <v/>
      </c>
      <c r="D37" s="78" t="str">
        <f>IF($B37="","",INDEX(Plan!$B$6:$B$205,$B37)&amp;"")</f>
        <v/>
      </c>
      <c r="E37" s="78" t="str">
        <f>IF($B37="","",INDEX(Plan!$AB$6:$AB$205,$B37))</f>
        <v/>
      </c>
      <c r="F37" s="78" t="str">
        <f>IF($B37="","",INDEX(Plan!$AC$6:$AC$205,$B37))</f>
        <v/>
      </c>
      <c r="G37" s="79" t="str">
        <f>IF($B37="","",IF(Setup!$C$21="","Fund",IF($F37+$H36&lt;=Setup!$C$21,"Fund","Cut")))</f>
        <v/>
      </c>
      <c r="H37" s="78">
        <f>IF($B37="",$H36,$H36+IF($G37="Fund",$F37,0))</f>
        <v>67738</v>
      </c>
    </row>
    <row r="38" ht="15" customHeight="1" s="46">
      <c r="A38" s="78" t="n">
        <v>34</v>
      </c>
      <c r="B38" s="78" t="str">
        <f>IFERROR(MATCH($A38,Plan!$AP$6:$AP$205,0),"")</f>
        <v/>
      </c>
      <c r="C38" s="78" t="str">
        <f>IF($B38="","",INDEX(Plan!$A$6:$A$205,$B38))</f>
        <v/>
      </c>
      <c r="D38" s="78" t="str">
        <f>IF($B38="","",INDEX(Plan!$B$6:$B$205,$B38)&amp;"")</f>
        <v/>
      </c>
      <c r="E38" s="78" t="str">
        <f>IF($B38="","",INDEX(Plan!$AB$6:$AB$205,$B38))</f>
        <v/>
      </c>
      <c r="F38" s="78" t="str">
        <f>IF($B38="","",INDEX(Plan!$AC$6:$AC$205,$B38))</f>
        <v/>
      </c>
      <c r="G38" s="79" t="str">
        <f>IF($B38="","",IF(Setup!$C$21="","Fund",IF($F38+$H37&lt;=Setup!$C$21,"Fund","Cut")))</f>
        <v/>
      </c>
      <c r="H38" s="78">
        <f>IF($B38="",$H37,$H37+IF($G38="Fund",$F38,0))</f>
        <v>67738</v>
      </c>
    </row>
    <row r="39" ht="15" customHeight="1" s="46">
      <c r="A39" s="78" t="n">
        <v>35</v>
      </c>
      <c r="B39" s="78" t="str">
        <f>IFERROR(MATCH($A39,Plan!$AP$6:$AP$205,0),"")</f>
        <v/>
      </c>
      <c r="C39" s="78" t="str">
        <f>IF($B39="","",INDEX(Plan!$A$6:$A$205,$B39))</f>
        <v/>
      </c>
      <c r="D39" s="78" t="str">
        <f>IF($B39="","",INDEX(Plan!$B$6:$B$205,$B39)&amp;"")</f>
        <v/>
      </c>
      <c r="E39" s="78" t="str">
        <f>IF($B39="","",INDEX(Plan!$AB$6:$AB$205,$B39))</f>
        <v/>
      </c>
      <c r="F39" s="78" t="str">
        <f>IF($B39="","",INDEX(Plan!$AC$6:$AC$205,$B39))</f>
        <v/>
      </c>
      <c r="G39" s="79" t="str">
        <f>IF($B39="","",IF(Setup!$C$21="","Fund",IF($F39+$H38&lt;=Setup!$C$21,"Fund","Cut")))</f>
        <v/>
      </c>
      <c r="H39" s="78">
        <f>IF($B39="",$H38,$H38+IF($G39="Fund",$F39,0))</f>
        <v>67738</v>
      </c>
    </row>
    <row r="40" ht="15" customHeight="1" s="46">
      <c r="A40" s="78" t="n">
        <v>36</v>
      </c>
      <c r="B40" s="78" t="str">
        <f>IFERROR(MATCH($A40,Plan!$AP$6:$AP$205,0),"")</f>
        <v/>
      </c>
      <c r="C40" s="78" t="str">
        <f>IF($B40="","",INDEX(Plan!$A$6:$A$205,$B40))</f>
        <v/>
      </c>
      <c r="D40" s="78" t="str">
        <f>IF($B40="","",INDEX(Plan!$B$6:$B$205,$B40)&amp;"")</f>
        <v/>
      </c>
      <c r="E40" s="78" t="str">
        <f>IF($B40="","",INDEX(Plan!$AB$6:$AB$205,$B40))</f>
        <v/>
      </c>
      <c r="F40" s="78" t="str">
        <f>IF($B40="","",INDEX(Plan!$AC$6:$AC$205,$B40))</f>
        <v/>
      </c>
      <c r="G40" s="79" t="str">
        <f>IF($B40="","",IF(Setup!$C$21="","Fund",IF($F40+$H39&lt;=Setup!$C$21,"Fund","Cut")))</f>
        <v/>
      </c>
      <c r="H40" s="78">
        <f>IF($B40="",$H39,$H39+IF($G40="Fund",$F40,0))</f>
        <v>67738</v>
      </c>
    </row>
    <row r="41" ht="15" customHeight="1" s="46">
      <c r="A41" s="78" t="n">
        <v>37</v>
      </c>
      <c r="B41" s="78" t="str">
        <f>IFERROR(MATCH($A41,Plan!$AP$6:$AP$205,0),"")</f>
        <v/>
      </c>
      <c r="C41" s="78" t="str">
        <f>IF($B41="","",INDEX(Plan!$A$6:$A$205,$B41))</f>
        <v/>
      </c>
      <c r="D41" s="78" t="str">
        <f>IF($B41="","",INDEX(Plan!$B$6:$B$205,$B41)&amp;"")</f>
        <v/>
      </c>
      <c r="E41" s="78" t="str">
        <f>IF($B41="","",INDEX(Plan!$AB$6:$AB$205,$B41))</f>
        <v/>
      </c>
      <c r="F41" s="78" t="str">
        <f>IF($B41="","",INDEX(Plan!$AC$6:$AC$205,$B41))</f>
        <v/>
      </c>
      <c r="G41" s="79" t="str">
        <f>IF($B41="","",IF(Setup!$C$21="","Fund",IF($F41+$H40&lt;=Setup!$C$21,"Fund","Cut")))</f>
        <v/>
      </c>
      <c r="H41" s="78">
        <f>IF($B41="",$H40,$H40+IF($G41="Fund",$F41,0))</f>
        <v>67738</v>
      </c>
    </row>
    <row r="42" ht="15" customHeight="1" s="46">
      <c r="A42" s="78" t="n">
        <v>38</v>
      </c>
      <c r="B42" s="78" t="str">
        <f>IFERROR(MATCH($A42,Plan!$AP$6:$AP$205,0),"")</f>
        <v/>
      </c>
      <c r="C42" s="78" t="str">
        <f>IF($B42="","",INDEX(Plan!$A$6:$A$205,$B42))</f>
        <v/>
      </c>
      <c r="D42" s="78" t="str">
        <f>IF($B42="","",INDEX(Plan!$B$6:$B$205,$B42)&amp;"")</f>
        <v/>
      </c>
      <c r="E42" s="78" t="str">
        <f>IF($B42="","",INDEX(Plan!$AB$6:$AB$205,$B42))</f>
        <v/>
      </c>
      <c r="F42" s="78" t="str">
        <f>IF($B42="","",INDEX(Plan!$AC$6:$AC$205,$B42))</f>
        <v/>
      </c>
      <c r="G42" s="79" t="str">
        <f>IF($B42="","",IF(Setup!$C$21="","Fund",IF($F42+$H41&lt;=Setup!$C$21,"Fund","Cut")))</f>
        <v/>
      </c>
      <c r="H42" s="78">
        <f>IF($B42="",$H41,$H41+IF($G42="Fund",$F42,0))</f>
        <v>67738</v>
      </c>
    </row>
    <row r="43" ht="15" customHeight="1" s="46">
      <c r="A43" s="78" t="n">
        <v>39</v>
      </c>
      <c r="B43" s="78" t="str">
        <f>IFERROR(MATCH($A43,Plan!$AP$6:$AP$205,0),"")</f>
        <v/>
      </c>
      <c r="C43" s="78" t="str">
        <f>IF($B43="","",INDEX(Plan!$A$6:$A$205,$B43))</f>
        <v/>
      </c>
      <c r="D43" s="78" t="str">
        <f>IF($B43="","",INDEX(Plan!$B$6:$B$205,$B43)&amp;"")</f>
        <v/>
      </c>
      <c r="E43" s="78" t="str">
        <f>IF($B43="","",INDEX(Plan!$AB$6:$AB$205,$B43))</f>
        <v/>
      </c>
      <c r="F43" s="78" t="str">
        <f>IF($B43="","",INDEX(Plan!$AC$6:$AC$205,$B43))</f>
        <v/>
      </c>
      <c r="G43" s="79" t="str">
        <f>IF($B43="","",IF(Setup!$C$21="","Fund",IF($F43+$H42&lt;=Setup!$C$21,"Fund","Cut")))</f>
        <v/>
      </c>
      <c r="H43" s="78">
        <f>IF($B43="",$H42,$H42+IF($G43="Fund",$F43,0))</f>
        <v>67738</v>
      </c>
    </row>
    <row r="44" ht="15" customHeight="1" s="46">
      <c r="A44" s="78" t="n">
        <v>40</v>
      </c>
      <c r="B44" s="78" t="str">
        <f>IFERROR(MATCH($A44,Plan!$AP$6:$AP$205,0),"")</f>
        <v/>
      </c>
      <c r="C44" s="78" t="str">
        <f>IF($B44="","",INDEX(Plan!$A$6:$A$205,$B44))</f>
        <v/>
      </c>
      <c r="D44" s="78" t="str">
        <f>IF($B44="","",INDEX(Plan!$B$6:$B$205,$B44)&amp;"")</f>
        <v/>
      </c>
      <c r="E44" s="78" t="str">
        <f>IF($B44="","",INDEX(Plan!$AB$6:$AB$205,$B44))</f>
        <v/>
      </c>
      <c r="F44" s="78" t="str">
        <f>IF($B44="","",INDEX(Plan!$AC$6:$AC$205,$B44))</f>
        <v/>
      </c>
      <c r="G44" s="79" t="str">
        <f>IF($B44="","",IF(Setup!$C$21="","Fund",IF($F44+$H43&lt;=Setup!$C$21,"Fund","Cut")))</f>
        <v/>
      </c>
      <c r="H44" s="78">
        <f>IF($B44="",$H43,$H43+IF($G44="Fund",$F44,0))</f>
        <v>67738</v>
      </c>
    </row>
    <row r="45" ht="15" customHeight="1" s="46">
      <c r="A45" s="78" t="n">
        <v>41</v>
      </c>
      <c r="B45" s="78" t="str">
        <f>IFERROR(MATCH($A45,Plan!$AP$6:$AP$205,0),"")</f>
        <v/>
      </c>
      <c r="C45" s="78" t="str">
        <f>IF($B45="","",INDEX(Plan!$A$6:$A$205,$B45))</f>
        <v/>
      </c>
      <c r="D45" s="78" t="str">
        <f>IF($B45="","",INDEX(Plan!$B$6:$B$205,$B45)&amp;"")</f>
        <v/>
      </c>
      <c r="E45" s="78" t="str">
        <f>IF($B45="","",INDEX(Plan!$AB$6:$AB$205,$B45))</f>
        <v/>
      </c>
      <c r="F45" s="78" t="str">
        <f>IF($B45="","",INDEX(Plan!$AC$6:$AC$205,$B45))</f>
        <v/>
      </c>
      <c r="G45" s="79" t="str">
        <f>IF($B45="","",IF(Setup!$C$21="","Fund",IF($F45+$H44&lt;=Setup!$C$21,"Fund","Cut")))</f>
        <v/>
      </c>
      <c r="H45" s="78">
        <f>IF($B45="",$H44,$H44+IF($G45="Fund",$F45,0))</f>
        <v>67738</v>
      </c>
    </row>
    <row r="46" ht="15" customHeight="1" s="46">
      <c r="A46" s="78" t="n">
        <v>42</v>
      </c>
      <c r="B46" s="78" t="str">
        <f>IFERROR(MATCH($A46,Plan!$AP$6:$AP$205,0),"")</f>
        <v/>
      </c>
      <c r="C46" s="78" t="str">
        <f>IF($B46="","",INDEX(Plan!$A$6:$A$205,$B46))</f>
        <v/>
      </c>
      <c r="D46" s="78" t="str">
        <f>IF($B46="","",INDEX(Plan!$B$6:$B$205,$B46)&amp;"")</f>
        <v/>
      </c>
      <c r="E46" s="78" t="str">
        <f>IF($B46="","",INDEX(Plan!$AB$6:$AB$205,$B46))</f>
        <v/>
      </c>
      <c r="F46" s="78" t="str">
        <f>IF($B46="","",INDEX(Plan!$AC$6:$AC$205,$B46))</f>
        <v/>
      </c>
      <c r="G46" s="79" t="str">
        <f>IF($B46="","",IF(Setup!$C$21="","Fund",IF($F46+$H45&lt;=Setup!$C$21,"Fund","Cut")))</f>
        <v/>
      </c>
      <c r="H46" s="78">
        <f>IF($B46="",$H45,$H45+IF($G46="Fund",$F46,0))</f>
        <v>67738</v>
      </c>
    </row>
    <row r="47" ht="15" customHeight="1" s="46">
      <c r="A47" s="78" t="n">
        <v>43</v>
      </c>
      <c r="B47" s="78" t="str">
        <f>IFERROR(MATCH($A47,Plan!$AP$6:$AP$205,0),"")</f>
        <v/>
      </c>
      <c r="C47" s="78" t="str">
        <f>IF($B47="","",INDEX(Plan!$A$6:$A$205,$B47))</f>
        <v/>
      </c>
      <c r="D47" s="78" t="str">
        <f>IF($B47="","",INDEX(Plan!$B$6:$B$205,$B47)&amp;"")</f>
        <v/>
      </c>
      <c r="E47" s="78" t="str">
        <f>IF($B47="","",INDEX(Plan!$AB$6:$AB$205,$B47))</f>
        <v/>
      </c>
      <c r="F47" s="78" t="str">
        <f>IF($B47="","",INDEX(Plan!$AC$6:$AC$205,$B47))</f>
        <v/>
      </c>
      <c r="G47" s="79" t="str">
        <f>IF($B47="","",IF(Setup!$C$21="","Fund",IF($F47+$H46&lt;=Setup!$C$21,"Fund","Cut")))</f>
        <v/>
      </c>
      <c r="H47" s="78">
        <f>IF($B47="",$H46,$H46+IF($G47="Fund",$F47,0))</f>
        <v>67738</v>
      </c>
    </row>
    <row r="48" ht="15" customHeight="1" s="46">
      <c r="A48" s="78" t="n">
        <v>44</v>
      </c>
      <c r="B48" s="78" t="str">
        <f>IFERROR(MATCH($A48,Plan!$AP$6:$AP$205,0),"")</f>
        <v/>
      </c>
      <c r="C48" s="78" t="str">
        <f>IF($B48="","",INDEX(Plan!$A$6:$A$205,$B48))</f>
        <v/>
      </c>
      <c r="D48" s="78" t="str">
        <f>IF($B48="","",INDEX(Plan!$B$6:$B$205,$B48)&amp;"")</f>
        <v/>
      </c>
      <c r="E48" s="78" t="str">
        <f>IF($B48="","",INDEX(Plan!$AB$6:$AB$205,$B48))</f>
        <v/>
      </c>
      <c r="F48" s="78" t="str">
        <f>IF($B48="","",INDEX(Plan!$AC$6:$AC$205,$B48))</f>
        <v/>
      </c>
      <c r="G48" s="79" t="str">
        <f>IF($B48="","",IF(Setup!$C$21="","Fund",IF($F48+$H47&lt;=Setup!$C$21,"Fund","Cut")))</f>
        <v/>
      </c>
      <c r="H48" s="78">
        <f>IF($B48="",$H47,$H47+IF($G48="Fund",$F48,0))</f>
        <v>67738</v>
      </c>
    </row>
    <row r="49" ht="15" customHeight="1" s="46">
      <c r="A49" s="78" t="n">
        <v>45</v>
      </c>
      <c r="B49" s="78" t="str">
        <f>IFERROR(MATCH($A49,Plan!$AP$6:$AP$205,0),"")</f>
        <v/>
      </c>
      <c r="C49" s="78" t="str">
        <f>IF($B49="","",INDEX(Plan!$A$6:$A$205,$B49))</f>
        <v/>
      </c>
      <c r="D49" s="78" t="str">
        <f>IF($B49="","",INDEX(Plan!$B$6:$B$205,$B49)&amp;"")</f>
        <v/>
      </c>
      <c r="E49" s="78" t="str">
        <f>IF($B49="","",INDEX(Plan!$AB$6:$AB$205,$B49))</f>
        <v/>
      </c>
      <c r="F49" s="78" t="str">
        <f>IF($B49="","",INDEX(Plan!$AC$6:$AC$205,$B49))</f>
        <v/>
      </c>
      <c r="G49" s="79" t="str">
        <f>IF($B49="","",IF(Setup!$C$21="","Fund",IF($F49+$H48&lt;=Setup!$C$21,"Fund","Cut")))</f>
        <v/>
      </c>
      <c r="H49" s="78">
        <f>IF($B49="",$H48,$H48+IF($G49="Fund",$F49,0))</f>
        <v>67738</v>
      </c>
    </row>
    <row r="50" ht="15" customHeight="1" s="46">
      <c r="A50" s="78" t="n">
        <v>46</v>
      </c>
      <c r="B50" s="78" t="str">
        <f>IFERROR(MATCH($A50,Plan!$AP$6:$AP$205,0),"")</f>
        <v/>
      </c>
      <c r="C50" s="78" t="str">
        <f>IF($B50="","",INDEX(Plan!$A$6:$A$205,$B50))</f>
        <v/>
      </c>
      <c r="D50" s="78" t="str">
        <f>IF($B50="","",INDEX(Plan!$B$6:$B$205,$B50)&amp;"")</f>
        <v/>
      </c>
      <c r="E50" s="78" t="str">
        <f>IF($B50="","",INDEX(Plan!$AB$6:$AB$205,$B50))</f>
        <v/>
      </c>
      <c r="F50" s="78" t="str">
        <f>IF($B50="","",INDEX(Plan!$AC$6:$AC$205,$B50))</f>
        <v/>
      </c>
      <c r="G50" s="79" t="str">
        <f>IF($B50="","",IF(Setup!$C$21="","Fund",IF($F50+$H49&lt;=Setup!$C$21,"Fund","Cut")))</f>
        <v/>
      </c>
      <c r="H50" s="78">
        <f>IF($B50="",$H49,$H49+IF($G50="Fund",$F50,0))</f>
        <v>67738</v>
      </c>
    </row>
    <row r="51" ht="15" customHeight="1" s="46">
      <c r="A51" s="78" t="n">
        <v>47</v>
      </c>
      <c r="B51" s="78" t="str">
        <f>IFERROR(MATCH($A51,Plan!$AP$6:$AP$205,0),"")</f>
        <v/>
      </c>
      <c r="C51" s="78" t="str">
        <f>IF($B51="","",INDEX(Plan!$A$6:$A$205,$B51))</f>
        <v/>
      </c>
      <c r="D51" s="78" t="str">
        <f>IF($B51="","",INDEX(Plan!$B$6:$B$205,$B51)&amp;"")</f>
        <v/>
      </c>
      <c r="E51" s="78" t="str">
        <f>IF($B51="","",INDEX(Plan!$AB$6:$AB$205,$B51))</f>
        <v/>
      </c>
      <c r="F51" s="78" t="str">
        <f>IF($B51="","",INDEX(Plan!$AC$6:$AC$205,$B51))</f>
        <v/>
      </c>
      <c r="G51" s="79" t="str">
        <f>IF($B51="","",IF(Setup!$C$21="","Fund",IF($F51+$H50&lt;=Setup!$C$21,"Fund","Cut")))</f>
        <v/>
      </c>
      <c r="H51" s="78">
        <f>IF($B51="",$H50,$H50+IF($G51="Fund",$F51,0))</f>
        <v>67738</v>
      </c>
    </row>
    <row r="52" ht="15" customHeight="1" s="46">
      <c r="A52" s="78" t="n">
        <v>48</v>
      </c>
      <c r="B52" s="78" t="str">
        <f>IFERROR(MATCH($A52,Plan!$AP$6:$AP$205,0),"")</f>
        <v/>
      </c>
      <c r="C52" s="78" t="str">
        <f>IF($B52="","",INDEX(Plan!$A$6:$A$205,$B52))</f>
        <v/>
      </c>
      <c r="D52" s="78" t="str">
        <f>IF($B52="","",INDEX(Plan!$B$6:$B$205,$B52)&amp;"")</f>
        <v/>
      </c>
      <c r="E52" s="78" t="str">
        <f>IF($B52="","",INDEX(Plan!$AB$6:$AB$205,$B52))</f>
        <v/>
      </c>
      <c r="F52" s="78" t="str">
        <f>IF($B52="","",INDEX(Plan!$AC$6:$AC$205,$B52))</f>
        <v/>
      </c>
      <c r="G52" s="79" t="str">
        <f>IF($B52="","",IF(Setup!$C$21="","Fund",IF($F52+$H51&lt;=Setup!$C$21,"Fund","Cut")))</f>
        <v/>
      </c>
      <c r="H52" s="78">
        <f>IF($B52="",$H51,$H51+IF($G52="Fund",$F52,0))</f>
        <v>67738</v>
      </c>
    </row>
    <row r="53" ht="15" customHeight="1" s="46">
      <c r="A53" s="78" t="n">
        <v>49</v>
      </c>
      <c r="B53" s="78" t="str">
        <f>IFERROR(MATCH($A53,Plan!$AP$6:$AP$205,0),"")</f>
        <v/>
      </c>
      <c r="C53" s="78" t="str">
        <f>IF($B53="","",INDEX(Plan!$A$6:$A$205,$B53))</f>
        <v/>
      </c>
      <c r="D53" s="78" t="str">
        <f>IF($B53="","",INDEX(Plan!$B$6:$B$205,$B53)&amp;"")</f>
        <v/>
      </c>
      <c r="E53" s="78" t="str">
        <f>IF($B53="","",INDEX(Plan!$AB$6:$AB$205,$B53))</f>
        <v/>
      </c>
      <c r="F53" s="78" t="str">
        <f>IF($B53="","",INDEX(Plan!$AC$6:$AC$205,$B53))</f>
        <v/>
      </c>
      <c r="G53" s="79" t="str">
        <f>IF($B53="","",IF(Setup!$C$21="","Fund",IF($F53+$H52&lt;=Setup!$C$21,"Fund","Cut")))</f>
        <v/>
      </c>
      <c r="H53" s="78">
        <f>IF($B53="",$H52,$H52+IF($G53="Fund",$F53,0))</f>
        <v>67738</v>
      </c>
    </row>
    <row r="54" ht="15" customHeight="1" s="46">
      <c r="A54" s="78" t="n">
        <v>50</v>
      </c>
      <c r="B54" s="78" t="str">
        <f>IFERROR(MATCH($A54,Plan!$AP$6:$AP$205,0),"")</f>
        <v/>
      </c>
      <c r="C54" s="78" t="str">
        <f>IF($B54="","",INDEX(Plan!$A$6:$A$205,$B54))</f>
        <v/>
      </c>
      <c r="D54" s="78" t="str">
        <f>IF($B54="","",INDEX(Plan!$B$6:$B$205,$B54)&amp;"")</f>
        <v/>
      </c>
      <c r="E54" s="78" t="str">
        <f>IF($B54="","",INDEX(Plan!$AB$6:$AB$205,$B54))</f>
        <v/>
      </c>
      <c r="F54" s="78" t="str">
        <f>IF($B54="","",INDEX(Plan!$AC$6:$AC$205,$B54))</f>
        <v/>
      </c>
      <c r="G54" s="79" t="str">
        <f>IF($B54="","",IF(Setup!$C$21="","Fund",IF($F54+$H53&lt;=Setup!$C$21,"Fund","Cut")))</f>
        <v/>
      </c>
      <c r="H54" s="78">
        <f>IF($B54="",$H53,$H53+IF($G54="Fund",$F54,0))</f>
        <v>67738</v>
      </c>
    </row>
    <row r="55" ht="15" customHeight="1" s="46">
      <c r="A55" s="78" t="n">
        <v>51</v>
      </c>
      <c r="B55" s="78" t="str">
        <f>IFERROR(MATCH($A55,Plan!$AP$6:$AP$205,0),"")</f>
        <v/>
      </c>
      <c r="C55" s="78" t="str">
        <f>IF($B55="","",INDEX(Plan!$A$6:$A$205,$B55))</f>
        <v/>
      </c>
      <c r="D55" s="78" t="str">
        <f>IF($B55="","",INDEX(Plan!$B$6:$B$205,$B55)&amp;"")</f>
        <v/>
      </c>
      <c r="E55" s="78" t="str">
        <f>IF($B55="","",INDEX(Plan!$AB$6:$AB$205,$B55))</f>
        <v/>
      </c>
      <c r="F55" s="78" t="str">
        <f>IF($B55="","",INDEX(Plan!$AC$6:$AC$205,$B55))</f>
        <v/>
      </c>
      <c r="G55" s="79" t="str">
        <f>IF($B55="","",IF(Setup!$C$21="","Fund",IF($F55+$H54&lt;=Setup!$C$21,"Fund","Cut")))</f>
        <v/>
      </c>
      <c r="H55" s="78">
        <f>IF($B55="",$H54,$H54+IF($G55="Fund",$F55,0))</f>
        <v>67738</v>
      </c>
    </row>
    <row r="56" ht="15" customHeight="1" s="46">
      <c r="A56" s="78" t="n">
        <v>52</v>
      </c>
      <c r="B56" s="78" t="str">
        <f>IFERROR(MATCH($A56,Plan!$AP$6:$AP$205,0),"")</f>
        <v/>
      </c>
      <c r="C56" s="78" t="str">
        <f>IF($B56="","",INDEX(Plan!$A$6:$A$205,$B56))</f>
        <v/>
      </c>
      <c r="D56" s="78" t="str">
        <f>IF($B56="","",INDEX(Plan!$B$6:$B$205,$B56)&amp;"")</f>
        <v/>
      </c>
      <c r="E56" s="78" t="str">
        <f>IF($B56="","",INDEX(Plan!$AB$6:$AB$205,$B56))</f>
        <v/>
      </c>
      <c r="F56" s="78" t="str">
        <f>IF($B56="","",INDEX(Plan!$AC$6:$AC$205,$B56))</f>
        <v/>
      </c>
      <c r="G56" s="79" t="str">
        <f>IF($B56="","",IF(Setup!$C$21="","Fund",IF($F56+$H55&lt;=Setup!$C$21,"Fund","Cut")))</f>
        <v/>
      </c>
      <c r="H56" s="78">
        <f>IF($B56="",$H55,$H55+IF($G56="Fund",$F56,0))</f>
        <v>67738</v>
      </c>
    </row>
    <row r="57" ht="15" customHeight="1" s="46">
      <c r="A57" s="78" t="n">
        <v>53</v>
      </c>
      <c r="B57" s="78" t="str">
        <f>IFERROR(MATCH($A57,Plan!$AP$6:$AP$205,0),"")</f>
        <v/>
      </c>
      <c r="C57" s="78" t="str">
        <f>IF($B57="","",INDEX(Plan!$A$6:$A$205,$B57))</f>
        <v/>
      </c>
      <c r="D57" s="78" t="str">
        <f>IF($B57="","",INDEX(Plan!$B$6:$B$205,$B57)&amp;"")</f>
        <v/>
      </c>
      <c r="E57" s="78" t="str">
        <f>IF($B57="","",INDEX(Plan!$AB$6:$AB$205,$B57))</f>
        <v/>
      </c>
      <c r="F57" s="78" t="str">
        <f>IF($B57="","",INDEX(Plan!$AC$6:$AC$205,$B57))</f>
        <v/>
      </c>
      <c r="G57" s="79" t="str">
        <f>IF($B57="","",IF(Setup!$C$21="","Fund",IF($F57+$H56&lt;=Setup!$C$21,"Fund","Cut")))</f>
        <v/>
      </c>
      <c r="H57" s="78">
        <f>IF($B57="",$H56,$H56+IF($G57="Fund",$F57,0))</f>
        <v>67738</v>
      </c>
    </row>
    <row r="58" ht="15" customHeight="1" s="46">
      <c r="A58" s="78" t="n">
        <v>54</v>
      </c>
      <c r="B58" s="78" t="str">
        <f>IFERROR(MATCH($A58,Plan!$AP$6:$AP$205,0),"")</f>
        <v/>
      </c>
      <c r="C58" s="78" t="str">
        <f>IF($B58="","",INDEX(Plan!$A$6:$A$205,$B58))</f>
        <v/>
      </c>
      <c r="D58" s="78" t="str">
        <f>IF($B58="","",INDEX(Plan!$B$6:$B$205,$B58)&amp;"")</f>
        <v/>
      </c>
      <c r="E58" s="78" t="str">
        <f>IF($B58="","",INDEX(Plan!$AB$6:$AB$205,$B58))</f>
        <v/>
      </c>
      <c r="F58" s="78" t="str">
        <f>IF($B58="","",INDEX(Plan!$AC$6:$AC$205,$B58))</f>
        <v/>
      </c>
      <c r="G58" s="79" t="str">
        <f>IF($B58="","",IF(Setup!$C$21="","Fund",IF($F58+$H57&lt;=Setup!$C$21,"Fund","Cut")))</f>
        <v/>
      </c>
      <c r="H58" s="78">
        <f>IF($B58="",$H57,$H57+IF($G58="Fund",$F58,0))</f>
        <v>67738</v>
      </c>
    </row>
    <row r="59" ht="15" customHeight="1" s="46">
      <c r="A59" s="78" t="n">
        <v>55</v>
      </c>
      <c r="B59" s="78" t="str">
        <f>IFERROR(MATCH($A59,Plan!$AP$6:$AP$205,0),"")</f>
        <v/>
      </c>
      <c r="C59" s="78" t="str">
        <f>IF($B59="","",INDEX(Plan!$A$6:$A$205,$B59))</f>
        <v/>
      </c>
      <c r="D59" s="78" t="str">
        <f>IF($B59="","",INDEX(Plan!$B$6:$B$205,$B59)&amp;"")</f>
        <v/>
      </c>
      <c r="E59" s="78" t="str">
        <f>IF($B59="","",INDEX(Plan!$AB$6:$AB$205,$B59))</f>
        <v/>
      </c>
      <c r="F59" s="78" t="str">
        <f>IF($B59="","",INDEX(Plan!$AC$6:$AC$205,$B59))</f>
        <v/>
      </c>
      <c r="G59" s="79" t="str">
        <f>IF($B59="","",IF(Setup!$C$21="","Fund",IF($F59+$H58&lt;=Setup!$C$21,"Fund","Cut")))</f>
        <v/>
      </c>
      <c r="H59" s="78">
        <f>IF($B59="",$H58,$H58+IF($G59="Fund",$F59,0))</f>
        <v>67738</v>
      </c>
    </row>
    <row r="60" ht="15" customHeight="1" s="46">
      <c r="A60" s="78" t="n">
        <v>56</v>
      </c>
      <c r="B60" s="78" t="str">
        <f>IFERROR(MATCH($A60,Plan!$AP$6:$AP$205,0),"")</f>
        <v/>
      </c>
      <c r="C60" s="78" t="str">
        <f>IF($B60="","",INDEX(Plan!$A$6:$A$205,$B60))</f>
        <v/>
      </c>
      <c r="D60" s="78" t="str">
        <f>IF($B60="","",INDEX(Plan!$B$6:$B$205,$B60)&amp;"")</f>
        <v/>
      </c>
      <c r="E60" s="78" t="str">
        <f>IF($B60="","",INDEX(Plan!$AB$6:$AB$205,$B60))</f>
        <v/>
      </c>
      <c r="F60" s="78" t="str">
        <f>IF($B60="","",INDEX(Plan!$AC$6:$AC$205,$B60))</f>
        <v/>
      </c>
      <c r="G60" s="79" t="str">
        <f>IF($B60="","",IF(Setup!$C$21="","Fund",IF($F60+$H59&lt;=Setup!$C$21,"Fund","Cut")))</f>
        <v/>
      </c>
      <c r="H60" s="78">
        <f>IF($B60="",$H59,$H59+IF($G60="Fund",$F60,0))</f>
        <v>67738</v>
      </c>
    </row>
    <row r="61" ht="15" customHeight="1" s="46">
      <c r="A61" s="78" t="n">
        <v>57</v>
      </c>
      <c r="B61" s="78" t="str">
        <f>IFERROR(MATCH($A61,Plan!$AP$6:$AP$205,0),"")</f>
        <v/>
      </c>
      <c r="C61" s="78" t="str">
        <f>IF($B61="","",INDEX(Plan!$A$6:$A$205,$B61))</f>
        <v/>
      </c>
      <c r="D61" s="78" t="str">
        <f>IF($B61="","",INDEX(Plan!$B$6:$B$205,$B61)&amp;"")</f>
        <v/>
      </c>
      <c r="E61" s="78" t="str">
        <f>IF($B61="","",INDEX(Plan!$AB$6:$AB$205,$B61))</f>
        <v/>
      </c>
      <c r="F61" s="78" t="str">
        <f>IF($B61="","",INDEX(Plan!$AC$6:$AC$205,$B61))</f>
        <v/>
      </c>
      <c r="G61" s="79" t="str">
        <f>IF($B61="","",IF(Setup!$C$21="","Fund",IF($F61+$H60&lt;=Setup!$C$21,"Fund","Cut")))</f>
        <v/>
      </c>
      <c r="H61" s="78">
        <f>IF($B61="",$H60,$H60+IF($G61="Fund",$F61,0))</f>
        <v>67738</v>
      </c>
    </row>
    <row r="62" ht="15" customHeight="1" s="46">
      <c r="A62" s="78" t="n">
        <v>58</v>
      </c>
      <c r="B62" s="78" t="str">
        <f>IFERROR(MATCH($A62,Plan!$AP$6:$AP$205,0),"")</f>
        <v/>
      </c>
      <c r="C62" s="78" t="str">
        <f>IF($B62="","",INDEX(Plan!$A$6:$A$205,$B62))</f>
        <v/>
      </c>
      <c r="D62" s="78" t="str">
        <f>IF($B62="","",INDEX(Plan!$B$6:$B$205,$B62)&amp;"")</f>
        <v/>
      </c>
      <c r="E62" s="78" t="str">
        <f>IF($B62="","",INDEX(Plan!$AB$6:$AB$205,$B62))</f>
        <v/>
      </c>
      <c r="F62" s="78" t="str">
        <f>IF($B62="","",INDEX(Plan!$AC$6:$AC$205,$B62))</f>
        <v/>
      </c>
      <c r="G62" s="79" t="str">
        <f>IF($B62="","",IF(Setup!$C$21="","Fund",IF($F62+$H61&lt;=Setup!$C$21,"Fund","Cut")))</f>
        <v/>
      </c>
      <c r="H62" s="78">
        <f>IF($B62="",$H61,$H61+IF($G62="Fund",$F62,0))</f>
        <v>67738</v>
      </c>
    </row>
    <row r="63" ht="15" customHeight="1" s="46">
      <c r="A63" s="78" t="n">
        <v>59</v>
      </c>
      <c r="B63" s="78" t="str">
        <f>IFERROR(MATCH($A63,Plan!$AP$6:$AP$205,0),"")</f>
        <v/>
      </c>
      <c r="C63" s="78" t="str">
        <f>IF($B63="","",INDEX(Plan!$A$6:$A$205,$B63))</f>
        <v/>
      </c>
      <c r="D63" s="78" t="str">
        <f>IF($B63="","",INDEX(Plan!$B$6:$B$205,$B63)&amp;"")</f>
        <v/>
      </c>
      <c r="E63" s="78" t="str">
        <f>IF($B63="","",INDEX(Plan!$AB$6:$AB$205,$B63))</f>
        <v/>
      </c>
      <c r="F63" s="78" t="str">
        <f>IF($B63="","",INDEX(Plan!$AC$6:$AC$205,$B63))</f>
        <v/>
      </c>
      <c r="G63" s="79" t="str">
        <f>IF($B63="","",IF(Setup!$C$21="","Fund",IF($F63+$H62&lt;=Setup!$C$21,"Fund","Cut")))</f>
        <v/>
      </c>
      <c r="H63" s="78">
        <f>IF($B63="",$H62,$H62+IF($G63="Fund",$F63,0))</f>
        <v>67738</v>
      </c>
    </row>
    <row r="64" ht="15" customHeight="1" s="46">
      <c r="A64" s="78" t="n">
        <v>60</v>
      </c>
      <c r="B64" s="78" t="str">
        <f>IFERROR(MATCH($A64,Plan!$AP$6:$AP$205,0),"")</f>
        <v/>
      </c>
      <c r="C64" s="78" t="str">
        <f>IF($B64="","",INDEX(Plan!$A$6:$A$205,$B64))</f>
        <v/>
      </c>
      <c r="D64" s="78" t="str">
        <f>IF($B64="","",INDEX(Plan!$B$6:$B$205,$B64)&amp;"")</f>
        <v/>
      </c>
      <c r="E64" s="78" t="str">
        <f>IF($B64="","",INDEX(Plan!$AB$6:$AB$205,$B64))</f>
        <v/>
      </c>
      <c r="F64" s="78" t="str">
        <f>IF($B64="","",INDEX(Plan!$AC$6:$AC$205,$B64))</f>
        <v/>
      </c>
      <c r="G64" s="79" t="str">
        <f>IF($B64="","",IF(Setup!$C$21="","Fund",IF($F64+$H63&lt;=Setup!$C$21,"Fund","Cut")))</f>
        <v/>
      </c>
      <c r="H64" s="78">
        <f>IF($B64="",$H63,$H63+IF($G64="Fund",$F64,0))</f>
        <v>67738</v>
      </c>
    </row>
    <row r="65" ht="15" customHeight="1" s="46">
      <c r="A65" s="78" t="n">
        <v>61</v>
      </c>
      <c r="B65" s="78" t="str">
        <f>IFERROR(MATCH($A65,Plan!$AP$6:$AP$205,0),"")</f>
        <v/>
      </c>
      <c r="C65" s="78" t="str">
        <f>IF($B65="","",INDEX(Plan!$A$6:$A$205,$B65))</f>
        <v/>
      </c>
      <c r="D65" s="78" t="str">
        <f>IF($B65="","",INDEX(Plan!$B$6:$B$205,$B65)&amp;"")</f>
        <v/>
      </c>
      <c r="E65" s="78" t="str">
        <f>IF($B65="","",INDEX(Plan!$AB$6:$AB$205,$B65))</f>
        <v/>
      </c>
      <c r="F65" s="78" t="str">
        <f>IF($B65="","",INDEX(Plan!$AC$6:$AC$205,$B65))</f>
        <v/>
      </c>
      <c r="G65" s="79" t="str">
        <f>IF($B65="","",IF(Setup!$C$21="","Fund",IF($F65+$H64&lt;=Setup!$C$21,"Fund","Cut")))</f>
        <v/>
      </c>
      <c r="H65" s="78">
        <f>IF($B65="",$H64,$H64+IF($G65="Fund",$F65,0))</f>
        <v>67738</v>
      </c>
    </row>
    <row r="66" ht="15" customHeight="1" s="46">
      <c r="A66" s="78" t="n">
        <v>62</v>
      </c>
      <c r="B66" s="78" t="str">
        <f>IFERROR(MATCH($A66,Plan!$AP$6:$AP$205,0),"")</f>
        <v/>
      </c>
      <c r="C66" s="78" t="str">
        <f>IF($B66="","",INDEX(Plan!$A$6:$A$205,$B66))</f>
        <v/>
      </c>
      <c r="D66" s="78" t="str">
        <f>IF($B66="","",INDEX(Plan!$B$6:$B$205,$B66)&amp;"")</f>
        <v/>
      </c>
      <c r="E66" s="78" t="str">
        <f>IF($B66="","",INDEX(Plan!$AB$6:$AB$205,$B66))</f>
        <v/>
      </c>
      <c r="F66" s="78" t="str">
        <f>IF($B66="","",INDEX(Plan!$AC$6:$AC$205,$B66))</f>
        <v/>
      </c>
      <c r="G66" s="79" t="str">
        <f>IF($B66="","",IF(Setup!$C$21="","Fund",IF($F66+$H65&lt;=Setup!$C$21,"Fund","Cut")))</f>
        <v/>
      </c>
      <c r="H66" s="78">
        <f>IF($B66="",$H65,$H65+IF($G66="Fund",$F66,0))</f>
        <v>67738</v>
      </c>
    </row>
    <row r="67" ht="15" customHeight="1" s="46">
      <c r="A67" s="78" t="n">
        <v>63</v>
      </c>
      <c r="B67" s="78" t="str">
        <f>IFERROR(MATCH($A67,Plan!$AP$6:$AP$205,0),"")</f>
        <v/>
      </c>
      <c r="C67" s="78" t="str">
        <f>IF($B67="","",INDEX(Plan!$A$6:$A$205,$B67))</f>
        <v/>
      </c>
      <c r="D67" s="78" t="str">
        <f>IF($B67="","",INDEX(Plan!$B$6:$B$205,$B67)&amp;"")</f>
        <v/>
      </c>
      <c r="E67" s="78" t="str">
        <f>IF($B67="","",INDEX(Plan!$AB$6:$AB$205,$B67))</f>
        <v/>
      </c>
      <c r="F67" s="78" t="str">
        <f>IF($B67="","",INDEX(Plan!$AC$6:$AC$205,$B67))</f>
        <v/>
      </c>
      <c r="G67" s="79" t="str">
        <f>IF($B67="","",IF(Setup!$C$21="","Fund",IF($F67+$H66&lt;=Setup!$C$21,"Fund","Cut")))</f>
        <v/>
      </c>
      <c r="H67" s="78">
        <f>IF($B67="",$H66,$H66+IF($G67="Fund",$F67,0))</f>
        <v>67738</v>
      </c>
    </row>
    <row r="68" ht="15" customHeight="1" s="46">
      <c r="A68" s="78" t="n">
        <v>64</v>
      </c>
      <c r="B68" s="78" t="str">
        <f>IFERROR(MATCH($A68,Plan!$AP$6:$AP$205,0),"")</f>
        <v/>
      </c>
      <c r="C68" s="78" t="str">
        <f>IF($B68="","",INDEX(Plan!$A$6:$A$205,$B68))</f>
        <v/>
      </c>
      <c r="D68" s="78" t="str">
        <f>IF($B68="","",INDEX(Plan!$B$6:$B$205,$B68)&amp;"")</f>
        <v/>
      </c>
      <c r="E68" s="78" t="str">
        <f>IF($B68="","",INDEX(Plan!$AB$6:$AB$205,$B68))</f>
        <v/>
      </c>
      <c r="F68" s="78" t="str">
        <f>IF($B68="","",INDEX(Plan!$AC$6:$AC$205,$B68))</f>
        <v/>
      </c>
      <c r="G68" s="79" t="str">
        <f>IF($B68="","",IF(Setup!$C$21="","Fund",IF($F68+$H67&lt;=Setup!$C$21,"Fund","Cut")))</f>
        <v/>
      </c>
      <c r="H68" s="78">
        <f>IF($B68="",$H67,$H67+IF($G68="Fund",$F68,0))</f>
        <v>67738</v>
      </c>
    </row>
    <row r="69" ht="15" customHeight="1" s="46">
      <c r="A69" s="78" t="n">
        <v>65</v>
      </c>
      <c r="B69" s="78" t="str">
        <f>IFERROR(MATCH($A69,Plan!$AP$6:$AP$205,0),"")</f>
        <v/>
      </c>
      <c r="C69" s="78" t="str">
        <f>IF($B69="","",INDEX(Plan!$A$6:$A$205,$B69))</f>
        <v/>
      </c>
      <c r="D69" s="78" t="str">
        <f>IF($B69="","",INDEX(Plan!$B$6:$B$205,$B69)&amp;"")</f>
        <v/>
      </c>
      <c r="E69" s="78" t="str">
        <f>IF($B69="","",INDEX(Plan!$AB$6:$AB$205,$B69))</f>
        <v/>
      </c>
      <c r="F69" s="78" t="str">
        <f>IF($B69="","",INDEX(Plan!$AC$6:$AC$205,$B69))</f>
        <v/>
      </c>
      <c r="G69" s="79" t="str">
        <f>IF($B69="","",IF(Setup!$C$21="","Fund",IF($F69+$H68&lt;=Setup!$C$21,"Fund","Cut")))</f>
        <v/>
      </c>
      <c r="H69" s="78">
        <f>IF($B69="",$H68,$H68+IF($G69="Fund",$F69,0))</f>
        <v>67738</v>
      </c>
    </row>
    <row r="70" ht="15" customHeight="1" s="46">
      <c r="A70" s="78" t="n">
        <v>66</v>
      </c>
      <c r="B70" s="78" t="str">
        <f>IFERROR(MATCH($A70,Plan!$AP$6:$AP$205,0),"")</f>
        <v/>
      </c>
      <c r="C70" s="78" t="str">
        <f>IF($B70="","",INDEX(Plan!$A$6:$A$205,$B70))</f>
        <v/>
      </c>
      <c r="D70" s="78" t="str">
        <f>IF($B70="","",INDEX(Plan!$B$6:$B$205,$B70)&amp;"")</f>
        <v/>
      </c>
      <c r="E70" s="78" t="str">
        <f>IF($B70="","",INDEX(Plan!$AB$6:$AB$205,$B70))</f>
        <v/>
      </c>
      <c r="F70" s="78" t="str">
        <f>IF($B70="","",INDEX(Plan!$AC$6:$AC$205,$B70))</f>
        <v/>
      </c>
      <c r="G70" s="79" t="str">
        <f>IF($B70="","",IF(Setup!$C$21="","Fund",IF($F70+$H69&lt;=Setup!$C$21,"Fund","Cut")))</f>
        <v/>
      </c>
      <c r="H70" s="78">
        <f>IF($B70="",$H69,$H69+IF($G70="Fund",$F70,0))</f>
        <v>67738</v>
      </c>
    </row>
    <row r="71" ht="15" customHeight="1" s="46">
      <c r="A71" s="78" t="n">
        <v>67</v>
      </c>
      <c r="B71" s="78" t="str">
        <f>IFERROR(MATCH($A71,Plan!$AP$6:$AP$205,0),"")</f>
        <v/>
      </c>
      <c r="C71" s="78" t="str">
        <f>IF($B71="","",INDEX(Plan!$A$6:$A$205,$B71))</f>
        <v/>
      </c>
      <c r="D71" s="78" t="str">
        <f>IF($B71="","",INDEX(Plan!$B$6:$B$205,$B71)&amp;"")</f>
        <v/>
      </c>
      <c r="E71" s="78" t="str">
        <f>IF($B71="","",INDEX(Plan!$AB$6:$AB$205,$B71))</f>
        <v/>
      </c>
      <c r="F71" s="78" t="str">
        <f>IF($B71="","",INDEX(Plan!$AC$6:$AC$205,$B71))</f>
        <v/>
      </c>
      <c r="G71" s="79" t="str">
        <f>IF($B71="","",IF(Setup!$C$21="","Fund",IF($F71+$H70&lt;=Setup!$C$21,"Fund","Cut")))</f>
        <v/>
      </c>
      <c r="H71" s="78">
        <f>IF($B71="",$H70,$H70+IF($G71="Fund",$F71,0))</f>
        <v>67738</v>
      </c>
    </row>
    <row r="72" ht="15" customHeight="1" s="46">
      <c r="A72" s="78" t="n">
        <v>68</v>
      </c>
      <c r="B72" s="78" t="str">
        <f>IFERROR(MATCH($A72,Plan!$AP$6:$AP$205,0),"")</f>
        <v/>
      </c>
      <c r="C72" s="78" t="str">
        <f>IF($B72="","",INDEX(Plan!$A$6:$A$205,$B72))</f>
        <v/>
      </c>
      <c r="D72" s="78" t="str">
        <f>IF($B72="","",INDEX(Plan!$B$6:$B$205,$B72)&amp;"")</f>
        <v/>
      </c>
      <c r="E72" s="78" t="str">
        <f>IF($B72="","",INDEX(Plan!$AB$6:$AB$205,$B72))</f>
        <v/>
      </c>
      <c r="F72" s="78" t="str">
        <f>IF($B72="","",INDEX(Plan!$AC$6:$AC$205,$B72))</f>
        <v/>
      </c>
      <c r="G72" s="79" t="str">
        <f>IF($B72="","",IF(Setup!$C$21="","Fund",IF($F72+$H71&lt;=Setup!$C$21,"Fund","Cut")))</f>
        <v/>
      </c>
      <c r="H72" s="78">
        <f>IF($B72="",$H71,$H71+IF($G72="Fund",$F72,0))</f>
        <v>67738</v>
      </c>
    </row>
    <row r="73" ht="15" customHeight="1" s="46">
      <c r="A73" s="78" t="n">
        <v>69</v>
      </c>
      <c r="B73" s="78" t="str">
        <f>IFERROR(MATCH($A73,Plan!$AP$6:$AP$205,0),"")</f>
        <v/>
      </c>
      <c r="C73" s="78" t="str">
        <f>IF($B73="","",INDEX(Plan!$A$6:$A$205,$B73))</f>
        <v/>
      </c>
      <c r="D73" s="78" t="str">
        <f>IF($B73="","",INDEX(Plan!$B$6:$B$205,$B73)&amp;"")</f>
        <v/>
      </c>
      <c r="E73" s="78" t="str">
        <f>IF($B73="","",INDEX(Plan!$AB$6:$AB$205,$B73))</f>
        <v/>
      </c>
      <c r="F73" s="78" t="str">
        <f>IF($B73="","",INDEX(Plan!$AC$6:$AC$205,$B73))</f>
        <v/>
      </c>
      <c r="G73" s="79" t="str">
        <f>IF($B73="","",IF(Setup!$C$21="","Fund",IF($F73+$H72&lt;=Setup!$C$21,"Fund","Cut")))</f>
        <v/>
      </c>
      <c r="H73" s="78">
        <f>IF($B73="",$H72,$H72+IF($G73="Fund",$F73,0))</f>
        <v>67738</v>
      </c>
    </row>
    <row r="74" ht="15" customHeight="1" s="46">
      <c r="A74" s="78" t="n">
        <v>70</v>
      </c>
      <c r="B74" s="78" t="str">
        <f>IFERROR(MATCH($A74,Plan!$AP$6:$AP$205,0),"")</f>
        <v/>
      </c>
      <c r="C74" s="78" t="str">
        <f>IF($B74="","",INDEX(Plan!$A$6:$A$205,$B74))</f>
        <v/>
      </c>
      <c r="D74" s="78" t="str">
        <f>IF($B74="","",INDEX(Plan!$B$6:$B$205,$B74)&amp;"")</f>
        <v/>
      </c>
      <c r="E74" s="78" t="str">
        <f>IF($B74="","",INDEX(Plan!$AB$6:$AB$205,$B74))</f>
        <v/>
      </c>
      <c r="F74" s="78" t="str">
        <f>IF($B74="","",INDEX(Plan!$AC$6:$AC$205,$B74))</f>
        <v/>
      </c>
      <c r="G74" s="79" t="str">
        <f>IF($B74="","",IF(Setup!$C$21="","Fund",IF($F74+$H73&lt;=Setup!$C$21,"Fund","Cut")))</f>
        <v/>
      </c>
      <c r="H74" s="78">
        <f>IF($B74="",$H73,$H73+IF($G74="Fund",$F74,0))</f>
        <v>67738</v>
      </c>
    </row>
    <row r="75" ht="15" customHeight="1" s="46">
      <c r="A75" s="78" t="n">
        <v>71</v>
      </c>
      <c r="B75" s="78" t="str">
        <f>IFERROR(MATCH($A75,Plan!$AP$6:$AP$205,0),"")</f>
        <v/>
      </c>
      <c r="C75" s="78" t="str">
        <f>IF($B75="","",INDEX(Plan!$A$6:$A$205,$B75))</f>
        <v/>
      </c>
      <c r="D75" s="78" t="str">
        <f>IF($B75="","",INDEX(Plan!$B$6:$B$205,$B75)&amp;"")</f>
        <v/>
      </c>
      <c r="E75" s="78" t="str">
        <f>IF($B75="","",INDEX(Plan!$AB$6:$AB$205,$B75))</f>
        <v/>
      </c>
      <c r="F75" s="78" t="str">
        <f>IF($B75="","",INDEX(Plan!$AC$6:$AC$205,$B75))</f>
        <v/>
      </c>
      <c r="G75" s="79" t="str">
        <f>IF($B75="","",IF(Setup!$C$21="","Fund",IF($F75+$H74&lt;=Setup!$C$21,"Fund","Cut")))</f>
        <v/>
      </c>
      <c r="H75" s="78">
        <f>IF($B75="",$H74,$H74+IF($G75="Fund",$F75,0))</f>
        <v>67738</v>
      </c>
    </row>
    <row r="76" ht="15" customHeight="1" s="46">
      <c r="A76" s="78" t="n">
        <v>72</v>
      </c>
      <c r="B76" s="78" t="str">
        <f>IFERROR(MATCH($A76,Plan!$AP$6:$AP$205,0),"")</f>
        <v/>
      </c>
      <c r="C76" s="78" t="str">
        <f>IF($B76="","",INDEX(Plan!$A$6:$A$205,$B76))</f>
        <v/>
      </c>
      <c r="D76" s="78" t="str">
        <f>IF($B76="","",INDEX(Plan!$B$6:$B$205,$B76)&amp;"")</f>
        <v/>
      </c>
      <c r="E76" s="78" t="str">
        <f>IF($B76="","",INDEX(Plan!$AB$6:$AB$205,$B76))</f>
        <v/>
      </c>
      <c r="F76" s="78" t="str">
        <f>IF($B76="","",INDEX(Plan!$AC$6:$AC$205,$B76))</f>
        <v/>
      </c>
      <c r="G76" s="79" t="str">
        <f>IF($B76="","",IF(Setup!$C$21="","Fund",IF($F76+$H75&lt;=Setup!$C$21,"Fund","Cut")))</f>
        <v/>
      </c>
      <c r="H76" s="78">
        <f>IF($B76="",$H75,$H75+IF($G76="Fund",$F76,0))</f>
        <v>67738</v>
      </c>
    </row>
    <row r="77" ht="15" customHeight="1" s="46">
      <c r="A77" s="78" t="n">
        <v>73</v>
      </c>
      <c r="B77" s="78" t="str">
        <f>IFERROR(MATCH($A77,Plan!$AP$6:$AP$205,0),"")</f>
        <v/>
      </c>
      <c r="C77" s="78" t="str">
        <f>IF($B77="","",INDEX(Plan!$A$6:$A$205,$B77))</f>
        <v/>
      </c>
      <c r="D77" s="78" t="str">
        <f>IF($B77="","",INDEX(Plan!$B$6:$B$205,$B77)&amp;"")</f>
        <v/>
      </c>
      <c r="E77" s="78" t="str">
        <f>IF($B77="","",INDEX(Plan!$AB$6:$AB$205,$B77))</f>
        <v/>
      </c>
      <c r="F77" s="78" t="str">
        <f>IF($B77="","",INDEX(Plan!$AC$6:$AC$205,$B77))</f>
        <v/>
      </c>
      <c r="G77" s="79" t="str">
        <f>IF($B77="","",IF(Setup!$C$21="","Fund",IF($F77+$H76&lt;=Setup!$C$21,"Fund","Cut")))</f>
        <v/>
      </c>
      <c r="H77" s="78">
        <f>IF($B77="",$H76,$H76+IF($G77="Fund",$F77,0))</f>
        <v>67738</v>
      </c>
    </row>
    <row r="78" ht="15" customHeight="1" s="46">
      <c r="A78" s="78" t="n">
        <v>74</v>
      </c>
      <c r="B78" s="78" t="str">
        <f>IFERROR(MATCH($A78,Plan!$AP$6:$AP$205,0),"")</f>
        <v/>
      </c>
      <c r="C78" s="78" t="str">
        <f>IF($B78="","",INDEX(Plan!$A$6:$A$205,$B78))</f>
        <v/>
      </c>
      <c r="D78" s="78" t="str">
        <f>IF($B78="","",INDEX(Plan!$B$6:$B$205,$B78)&amp;"")</f>
        <v/>
      </c>
      <c r="E78" s="78" t="str">
        <f>IF($B78="","",INDEX(Plan!$AB$6:$AB$205,$B78))</f>
        <v/>
      </c>
      <c r="F78" s="78" t="str">
        <f>IF($B78="","",INDEX(Plan!$AC$6:$AC$205,$B78))</f>
        <v/>
      </c>
      <c r="G78" s="79" t="str">
        <f>IF($B78="","",IF(Setup!$C$21="","Fund",IF($F78+$H77&lt;=Setup!$C$21,"Fund","Cut")))</f>
        <v/>
      </c>
      <c r="H78" s="78">
        <f>IF($B78="",$H77,$H77+IF($G78="Fund",$F78,0))</f>
        <v>67738</v>
      </c>
    </row>
    <row r="79" ht="15" customHeight="1" s="46">
      <c r="A79" s="78" t="n">
        <v>75</v>
      </c>
      <c r="B79" s="78" t="str">
        <f>IFERROR(MATCH($A79,Plan!$AP$6:$AP$205,0),"")</f>
        <v/>
      </c>
      <c r="C79" s="78" t="str">
        <f>IF($B79="","",INDEX(Plan!$A$6:$A$205,$B79))</f>
        <v/>
      </c>
      <c r="D79" s="78" t="str">
        <f>IF($B79="","",INDEX(Plan!$B$6:$B$205,$B79)&amp;"")</f>
        <v/>
      </c>
      <c r="E79" s="78" t="str">
        <f>IF($B79="","",INDEX(Plan!$AB$6:$AB$205,$B79))</f>
        <v/>
      </c>
      <c r="F79" s="78" t="str">
        <f>IF($B79="","",INDEX(Plan!$AC$6:$AC$205,$B79))</f>
        <v/>
      </c>
      <c r="G79" s="79" t="str">
        <f>IF($B79="","",IF(Setup!$C$21="","Fund",IF($F79+$H78&lt;=Setup!$C$21,"Fund","Cut")))</f>
        <v/>
      </c>
      <c r="H79" s="78">
        <f>IF($B79="",$H78,$H78+IF($G79="Fund",$F79,0))</f>
        <v>67738</v>
      </c>
    </row>
    <row r="80" ht="15" customHeight="1" s="46">
      <c r="A80" s="78" t="n">
        <v>76</v>
      </c>
      <c r="B80" s="78" t="str">
        <f>IFERROR(MATCH($A80,Plan!$AP$6:$AP$205,0),"")</f>
        <v/>
      </c>
      <c r="C80" s="78" t="str">
        <f>IF($B80="","",INDEX(Plan!$A$6:$A$205,$B80))</f>
        <v/>
      </c>
      <c r="D80" s="78" t="str">
        <f>IF($B80="","",INDEX(Plan!$B$6:$B$205,$B80)&amp;"")</f>
        <v/>
      </c>
      <c r="E80" s="78" t="str">
        <f>IF($B80="","",INDEX(Plan!$AB$6:$AB$205,$B80))</f>
        <v/>
      </c>
      <c r="F80" s="78" t="str">
        <f>IF($B80="","",INDEX(Plan!$AC$6:$AC$205,$B80))</f>
        <v/>
      </c>
      <c r="G80" s="79" t="str">
        <f>IF($B80="","",IF(Setup!$C$21="","Fund",IF($F80+$H79&lt;=Setup!$C$21,"Fund","Cut")))</f>
        <v/>
      </c>
      <c r="H80" s="78">
        <f>IF($B80="",$H79,$H79+IF($G80="Fund",$F80,0))</f>
        <v>67738</v>
      </c>
    </row>
    <row r="81" ht="15" customHeight="1" s="46">
      <c r="A81" s="78" t="n">
        <v>77</v>
      </c>
      <c r="B81" s="78" t="str">
        <f>IFERROR(MATCH($A81,Plan!$AP$6:$AP$205,0),"")</f>
        <v/>
      </c>
      <c r="C81" s="78" t="str">
        <f>IF($B81="","",INDEX(Plan!$A$6:$A$205,$B81))</f>
        <v/>
      </c>
      <c r="D81" s="78" t="str">
        <f>IF($B81="","",INDEX(Plan!$B$6:$B$205,$B81)&amp;"")</f>
        <v/>
      </c>
      <c r="E81" s="78" t="str">
        <f>IF($B81="","",INDEX(Plan!$AB$6:$AB$205,$B81))</f>
        <v/>
      </c>
      <c r="F81" s="78" t="str">
        <f>IF($B81="","",INDEX(Plan!$AC$6:$AC$205,$B81))</f>
        <v/>
      </c>
      <c r="G81" s="79" t="str">
        <f>IF($B81="","",IF(Setup!$C$21="","Fund",IF($F81+$H80&lt;=Setup!$C$21,"Fund","Cut")))</f>
        <v/>
      </c>
      <c r="H81" s="78">
        <f>IF($B81="",$H80,$H80+IF($G81="Fund",$F81,0))</f>
        <v>67738</v>
      </c>
    </row>
    <row r="82" ht="15" customHeight="1" s="46">
      <c r="A82" s="78" t="n">
        <v>78</v>
      </c>
      <c r="B82" s="78" t="str">
        <f>IFERROR(MATCH($A82,Plan!$AP$6:$AP$205,0),"")</f>
        <v/>
      </c>
      <c r="C82" s="78" t="str">
        <f>IF($B82="","",INDEX(Plan!$A$6:$A$205,$B82))</f>
        <v/>
      </c>
      <c r="D82" s="78" t="str">
        <f>IF($B82="","",INDEX(Plan!$B$6:$B$205,$B82)&amp;"")</f>
        <v/>
      </c>
      <c r="E82" s="78" t="str">
        <f>IF($B82="","",INDEX(Plan!$AB$6:$AB$205,$B82))</f>
        <v/>
      </c>
      <c r="F82" s="78" t="str">
        <f>IF($B82="","",INDEX(Plan!$AC$6:$AC$205,$B82))</f>
        <v/>
      </c>
      <c r="G82" s="79" t="str">
        <f>IF($B82="","",IF(Setup!$C$21="","Fund",IF($F82+$H81&lt;=Setup!$C$21,"Fund","Cut")))</f>
        <v/>
      </c>
      <c r="H82" s="78">
        <f>IF($B82="",$H81,$H81+IF($G82="Fund",$F82,0))</f>
        <v>67738</v>
      </c>
    </row>
    <row r="83" ht="15" customHeight="1" s="46">
      <c r="A83" s="78" t="n">
        <v>79</v>
      </c>
      <c r="B83" s="78" t="str">
        <f>IFERROR(MATCH($A83,Plan!$AP$6:$AP$205,0),"")</f>
        <v/>
      </c>
      <c r="C83" s="78" t="str">
        <f>IF($B83="","",INDEX(Plan!$A$6:$A$205,$B83))</f>
        <v/>
      </c>
      <c r="D83" s="78" t="str">
        <f>IF($B83="","",INDEX(Plan!$B$6:$B$205,$B83)&amp;"")</f>
        <v/>
      </c>
      <c r="E83" s="78" t="str">
        <f>IF($B83="","",INDEX(Plan!$AB$6:$AB$205,$B83))</f>
        <v/>
      </c>
      <c r="F83" s="78" t="str">
        <f>IF($B83="","",INDEX(Plan!$AC$6:$AC$205,$B83))</f>
        <v/>
      </c>
      <c r="G83" s="79" t="str">
        <f>IF($B83="","",IF(Setup!$C$21="","Fund",IF($F83+$H82&lt;=Setup!$C$21,"Fund","Cut")))</f>
        <v/>
      </c>
      <c r="H83" s="78">
        <f>IF($B83="",$H82,$H82+IF($G83="Fund",$F83,0))</f>
        <v>67738</v>
      </c>
    </row>
    <row r="84" ht="15" customHeight="1" s="46">
      <c r="A84" s="78" t="n">
        <v>80</v>
      </c>
      <c r="B84" s="78" t="str">
        <f>IFERROR(MATCH($A84,Plan!$AP$6:$AP$205,0),"")</f>
        <v/>
      </c>
      <c r="C84" s="78" t="str">
        <f>IF($B84="","",INDEX(Plan!$A$6:$A$205,$B84))</f>
        <v/>
      </c>
      <c r="D84" s="78" t="str">
        <f>IF($B84="","",INDEX(Plan!$B$6:$B$205,$B84)&amp;"")</f>
        <v/>
      </c>
      <c r="E84" s="78" t="str">
        <f>IF($B84="","",INDEX(Plan!$AB$6:$AB$205,$B84))</f>
        <v/>
      </c>
      <c r="F84" s="78" t="str">
        <f>IF($B84="","",INDEX(Plan!$AC$6:$AC$205,$B84))</f>
        <v/>
      </c>
      <c r="G84" s="79" t="str">
        <f>IF($B84="","",IF(Setup!$C$21="","Fund",IF($F84+$H83&lt;=Setup!$C$21,"Fund","Cut")))</f>
        <v/>
      </c>
      <c r="H84" s="78">
        <f>IF($B84="",$H83,$H83+IF($G84="Fund",$F84,0))</f>
        <v>67738</v>
      </c>
    </row>
    <row r="85" ht="15" customHeight="1" s="46">
      <c r="A85" s="78" t="n">
        <v>81</v>
      </c>
      <c r="B85" s="78" t="str">
        <f>IFERROR(MATCH($A85,Plan!$AP$6:$AP$205,0),"")</f>
        <v/>
      </c>
      <c r="C85" s="78" t="str">
        <f>IF($B85="","",INDEX(Plan!$A$6:$A$205,$B85))</f>
        <v/>
      </c>
      <c r="D85" s="78" t="str">
        <f>IF($B85="","",INDEX(Plan!$B$6:$B$205,$B85)&amp;"")</f>
        <v/>
      </c>
      <c r="E85" s="78" t="str">
        <f>IF($B85="","",INDEX(Plan!$AB$6:$AB$205,$B85))</f>
        <v/>
      </c>
      <c r="F85" s="78" t="str">
        <f>IF($B85="","",INDEX(Plan!$AC$6:$AC$205,$B85))</f>
        <v/>
      </c>
      <c r="G85" s="79" t="str">
        <f>IF($B85="","",IF(Setup!$C$21="","Fund",IF($F85+$H84&lt;=Setup!$C$21,"Fund","Cut")))</f>
        <v/>
      </c>
      <c r="H85" s="78">
        <f>IF($B85="",$H84,$H84+IF($G85="Fund",$F85,0))</f>
        <v>67738</v>
      </c>
    </row>
    <row r="86" ht="15" customHeight="1" s="46">
      <c r="A86" s="78" t="n">
        <v>82</v>
      </c>
      <c r="B86" s="78" t="str">
        <f>IFERROR(MATCH($A86,Plan!$AP$6:$AP$205,0),"")</f>
        <v/>
      </c>
      <c r="C86" s="78" t="str">
        <f>IF($B86="","",INDEX(Plan!$A$6:$A$205,$B86))</f>
        <v/>
      </c>
      <c r="D86" s="78" t="str">
        <f>IF($B86="","",INDEX(Plan!$B$6:$B$205,$B86)&amp;"")</f>
        <v/>
      </c>
      <c r="E86" s="78" t="str">
        <f>IF($B86="","",INDEX(Plan!$AB$6:$AB$205,$B86))</f>
        <v/>
      </c>
      <c r="F86" s="78" t="str">
        <f>IF($B86="","",INDEX(Plan!$AC$6:$AC$205,$B86))</f>
        <v/>
      </c>
      <c r="G86" s="79" t="str">
        <f>IF($B86="","",IF(Setup!$C$21="","Fund",IF($F86+$H85&lt;=Setup!$C$21,"Fund","Cut")))</f>
        <v/>
      </c>
      <c r="H86" s="78">
        <f>IF($B86="",$H85,$H85+IF($G86="Fund",$F86,0))</f>
        <v>67738</v>
      </c>
    </row>
    <row r="87" ht="15" customHeight="1" s="46">
      <c r="A87" s="78" t="n">
        <v>83</v>
      </c>
      <c r="B87" s="78" t="str">
        <f>IFERROR(MATCH($A87,Plan!$AP$6:$AP$205,0),"")</f>
        <v/>
      </c>
      <c r="C87" s="78" t="str">
        <f>IF($B87="","",INDEX(Plan!$A$6:$A$205,$B87))</f>
        <v/>
      </c>
      <c r="D87" s="78" t="str">
        <f>IF($B87="","",INDEX(Plan!$B$6:$B$205,$B87)&amp;"")</f>
        <v/>
      </c>
      <c r="E87" s="78" t="str">
        <f>IF($B87="","",INDEX(Plan!$AB$6:$AB$205,$B87))</f>
        <v/>
      </c>
      <c r="F87" s="78" t="str">
        <f>IF($B87="","",INDEX(Plan!$AC$6:$AC$205,$B87))</f>
        <v/>
      </c>
      <c r="G87" s="79" t="str">
        <f>IF($B87="","",IF(Setup!$C$21="","Fund",IF($F87+$H86&lt;=Setup!$C$21,"Fund","Cut")))</f>
        <v/>
      </c>
      <c r="H87" s="78">
        <f>IF($B87="",$H86,$H86+IF($G87="Fund",$F87,0))</f>
        <v>67738</v>
      </c>
    </row>
    <row r="88" ht="15" customHeight="1" s="46">
      <c r="A88" s="78" t="n">
        <v>84</v>
      </c>
      <c r="B88" s="78" t="str">
        <f>IFERROR(MATCH($A88,Plan!$AP$6:$AP$205,0),"")</f>
        <v/>
      </c>
      <c r="C88" s="78" t="str">
        <f>IF($B88="","",INDEX(Plan!$A$6:$A$205,$B88))</f>
        <v/>
      </c>
      <c r="D88" s="78" t="str">
        <f>IF($B88="","",INDEX(Plan!$B$6:$B$205,$B88)&amp;"")</f>
        <v/>
      </c>
      <c r="E88" s="78" t="str">
        <f>IF($B88="","",INDEX(Plan!$AB$6:$AB$205,$B88))</f>
        <v/>
      </c>
      <c r="F88" s="78" t="str">
        <f>IF($B88="","",INDEX(Plan!$AC$6:$AC$205,$B88))</f>
        <v/>
      </c>
      <c r="G88" s="79" t="str">
        <f>IF($B88="","",IF(Setup!$C$21="","Fund",IF($F88+$H87&lt;=Setup!$C$21,"Fund","Cut")))</f>
        <v/>
      </c>
      <c r="H88" s="78">
        <f>IF($B88="",$H87,$H87+IF($G88="Fund",$F88,0))</f>
        <v>67738</v>
      </c>
    </row>
    <row r="89" ht="15" customHeight="1" s="46">
      <c r="A89" s="78" t="n">
        <v>85</v>
      </c>
      <c r="B89" s="78" t="str">
        <f>IFERROR(MATCH($A89,Plan!$AP$6:$AP$205,0),"")</f>
        <v/>
      </c>
      <c r="C89" s="78" t="str">
        <f>IF($B89="","",INDEX(Plan!$A$6:$A$205,$B89))</f>
        <v/>
      </c>
      <c r="D89" s="78" t="str">
        <f>IF($B89="","",INDEX(Plan!$B$6:$B$205,$B89)&amp;"")</f>
        <v/>
      </c>
      <c r="E89" s="78" t="str">
        <f>IF($B89="","",INDEX(Plan!$AB$6:$AB$205,$B89))</f>
        <v/>
      </c>
      <c r="F89" s="78" t="str">
        <f>IF($B89="","",INDEX(Plan!$AC$6:$AC$205,$B89))</f>
        <v/>
      </c>
      <c r="G89" s="79" t="str">
        <f>IF($B89="","",IF(Setup!$C$21="","Fund",IF($F89+$H88&lt;=Setup!$C$21,"Fund","Cut")))</f>
        <v/>
      </c>
      <c r="H89" s="78">
        <f>IF($B89="",$H88,$H88+IF($G89="Fund",$F89,0))</f>
        <v>67738</v>
      </c>
    </row>
    <row r="90" ht="15" customHeight="1" s="46">
      <c r="A90" s="78" t="n">
        <v>86</v>
      </c>
      <c r="B90" s="78" t="str">
        <f>IFERROR(MATCH($A90,Plan!$AP$6:$AP$205,0),"")</f>
        <v/>
      </c>
      <c r="C90" s="78" t="str">
        <f>IF($B90="","",INDEX(Plan!$A$6:$A$205,$B90))</f>
        <v/>
      </c>
      <c r="D90" s="78" t="str">
        <f>IF($B90="","",INDEX(Plan!$B$6:$B$205,$B90)&amp;"")</f>
        <v/>
      </c>
      <c r="E90" s="78" t="str">
        <f>IF($B90="","",INDEX(Plan!$AB$6:$AB$205,$B90))</f>
        <v/>
      </c>
      <c r="F90" s="78" t="str">
        <f>IF($B90="","",INDEX(Plan!$AC$6:$AC$205,$B90))</f>
        <v/>
      </c>
      <c r="G90" s="79" t="str">
        <f>IF($B90="","",IF(Setup!$C$21="","Fund",IF($F90+$H89&lt;=Setup!$C$21,"Fund","Cut")))</f>
        <v/>
      </c>
      <c r="H90" s="78">
        <f>IF($B90="",$H89,$H89+IF($G90="Fund",$F90,0))</f>
        <v>67738</v>
      </c>
    </row>
    <row r="91" ht="15" customHeight="1" s="46">
      <c r="A91" s="78" t="n">
        <v>87</v>
      </c>
      <c r="B91" s="78" t="str">
        <f>IFERROR(MATCH($A91,Plan!$AP$6:$AP$205,0),"")</f>
        <v/>
      </c>
      <c r="C91" s="78" t="str">
        <f>IF($B91="","",INDEX(Plan!$A$6:$A$205,$B91))</f>
        <v/>
      </c>
      <c r="D91" s="78" t="str">
        <f>IF($B91="","",INDEX(Plan!$B$6:$B$205,$B91)&amp;"")</f>
        <v/>
      </c>
      <c r="E91" s="78" t="str">
        <f>IF($B91="","",INDEX(Plan!$AB$6:$AB$205,$B91))</f>
        <v/>
      </c>
      <c r="F91" s="78" t="str">
        <f>IF($B91="","",INDEX(Plan!$AC$6:$AC$205,$B91))</f>
        <v/>
      </c>
      <c r="G91" s="79" t="str">
        <f>IF($B91="","",IF(Setup!$C$21="","Fund",IF($F91+$H90&lt;=Setup!$C$21,"Fund","Cut")))</f>
        <v/>
      </c>
      <c r="H91" s="78">
        <f>IF($B91="",$H90,$H90+IF($G91="Fund",$F91,0))</f>
        <v>67738</v>
      </c>
    </row>
    <row r="92" ht="15" customHeight="1" s="46">
      <c r="A92" s="78" t="n">
        <v>88</v>
      </c>
      <c r="B92" s="78" t="str">
        <f>IFERROR(MATCH($A92,Plan!$AP$6:$AP$205,0),"")</f>
        <v/>
      </c>
      <c r="C92" s="78" t="str">
        <f>IF($B92="","",INDEX(Plan!$A$6:$A$205,$B92))</f>
        <v/>
      </c>
      <c r="D92" s="78" t="str">
        <f>IF($B92="","",INDEX(Plan!$B$6:$B$205,$B92)&amp;"")</f>
        <v/>
      </c>
      <c r="E92" s="78" t="str">
        <f>IF($B92="","",INDEX(Plan!$AB$6:$AB$205,$B92))</f>
        <v/>
      </c>
      <c r="F92" s="78" t="str">
        <f>IF($B92="","",INDEX(Plan!$AC$6:$AC$205,$B92))</f>
        <v/>
      </c>
      <c r="G92" s="79" t="str">
        <f>IF($B92="","",IF(Setup!$C$21="","Fund",IF($F92+$H91&lt;=Setup!$C$21,"Fund","Cut")))</f>
        <v/>
      </c>
      <c r="H92" s="78">
        <f>IF($B92="",$H91,$H91+IF($G92="Fund",$F92,0))</f>
        <v>67738</v>
      </c>
    </row>
    <row r="93" ht="15" customHeight="1" s="46">
      <c r="A93" s="78" t="n">
        <v>89</v>
      </c>
      <c r="B93" s="78" t="str">
        <f>IFERROR(MATCH($A93,Plan!$AP$6:$AP$205,0),"")</f>
        <v/>
      </c>
      <c r="C93" s="78" t="str">
        <f>IF($B93="","",INDEX(Plan!$A$6:$A$205,$B93))</f>
        <v/>
      </c>
      <c r="D93" s="78" t="str">
        <f>IF($B93="","",INDEX(Plan!$B$6:$B$205,$B93)&amp;"")</f>
        <v/>
      </c>
      <c r="E93" s="78" t="str">
        <f>IF($B93="","",INDEX(Plan!$AB$6:$AB$205,$B93))</f>
        <v/>
      </c>
      <c r="F93" s="78" t="str">
        <f>IF($B93="","",INDEX(Plan!$AC$6:$AC$205,$B93))</f>
        <v/>
      </c>
      <c r="G93" s="79" t="str">
        <f>IF($B93="","",IF(Setup!$C$21="","Fund",IF($F93+$H92&lt;=Setup!$C$21,"Fund","Cut")))</f>
        <v/>
      </c>
      <c r="H93" s="78">
        <f>IF($B93="",$H92,$H92+IF($G93="Fund",$F93,0))</f>
        <v>67738</v>
      </c>
    </row>
    <row r="94" ht="15" customHeight="1" s="46">
      <c r="A94" s="78" t="n">
        <v>90</v>
      </c>
      <c r="B94" s="78" t="str">
        <f>IFERROR(MATCH($A94,Plan!$AP$6:$AP$205,0),"")</f>
        <v/>
      </c>
      <c r="C94" s="78" t="str">
        <f>IF($B94="","",INDEX(Plan!$A$6:$A$205,$B94))</f>
        <v/>
      </c>
      <c r="D94" s="78" t="str">
        <f>IF($B94="","",INDEX(Plan!$B$6:$B$205,$B94)&amp;"")</f>
        <v/>
      </c>
      <c r="E94" s="78" t="str">
        <f>IF($B94="","",INDEX(Plan!$AB$6:$AB$205,$B94))</f>
        <v/>
      </c>
      <c r="F94" s="78" t="str">
        <f>IF($B94="","",INDEX(Plan!$AC$6:$AC$205,$B94))</f>
        <v/>
      </c>
      <c r="G94" s="79" t="str">
        <f>IF($B94="","",IF(Setup!$C$21="","Fund",IF($F94+$H93&lt;=Setup!$C$21,"Fund","Cut")))</f>
        <v/>
      </c>
      <c r="H94" s="78">
        <f>IF($B94="",$H93,$H93+IF($G94="Fund",$F94,0))</f>
        <v>67738</v>
      </c>
    </row>
    <row r="95" ht="15" customHeight="1" s="46">
      <c r="A95" s="78" t="n">
        <v>91</v>
      </c>
      <c r="B95" s="78" t="str">
        <f>IFERROR(MATCH($A95,Plan!$AP$6:$AP$205,0),"")</f>
        <v/>
      </c>
      <c r="C95" s="78" t="str">
        <f>IF($B95="","",INDEX(Plan!$A$6:$A$205,$B95))</f>
        <v/>
      </c>
      <c r="D95" s="78" t="str">
        <f>IF($B95="","",INDEX(Plan!$B$6:$B$205,$B95)&amp;"")</f>
        <v/>
      </c>
      <c r="E95" s="78" t="str">
        <f>IF($B95="","",INDEX(Plan!$AB$6:$AB$205,$B95))</f>
        <v/>
      </c>
      <c r="F95" s="78" t="str">
        <f>IF($B95="","",INDEX(Plan!$AC$6:$AC$205,$B95))</f>
        <v/>
      </c>
      <c r="G95" s="79" t="str">
        <f>IF($B95="","",IF(Setup!$C$21="","Fund",IF($F95+$H94&lt;=Setup!$C$21,"Fund","Cut")))</f>
        <v/>
      </c>
      <c r="H95" s="78">
        <f>IF($B95="",$H94,$H94+IF($G95="Fund",$F95,0))</f>
        <v>67738</v>
      </c>
    </row>
    <row r="96" ht="15" customHeight="1" s="46">
      <c r="A96" s="78" t="n">
        <v>92</v>
      </c>
      <c r="B96" s="78" t="str">
        <f>IFERROR(MATCH($A96,Plan!$AP$6:$AP$205,0),"")</f>
        <v/>
      </c>
      <c r="C96" s="78" t="str">
        <f>IF($B96="","",INDEX(Plan!$A$6:$A$205,$B96))</f>
        <v/>
      </c>
      <c r="D96" s="78" t="str">
        <f>IF($B96="","",INDEX(Plan!$B$6:$B$205,$B96)&amp;"")</f>
        <v/>
      </c>
      <c r="E96" s="78" t="str">
        <f>IF($B96="","",INDEX(Plan!$AB$6:$AB$205,$B96))</f>
        <v/>
      </c>
      <c r="F96" s="78" t="str">
        <f>IF($B96="","",INDEX(Plan!$AC$6:$AC$205,$B96))</f>
        <v/>
      </c>
      <c r="G96" s="79" t="str">
        <f>IF($B96="","",IF(Setup!$C$21="","Fund",IF($F96+$H95&lt;=Setup!$C$21,"Fund","Cut")))</f>
        <v/>
      </c>
      <c r="H96" s="78">
        <f>IF($B96="",$H95,$H95+IF($G96="Fund",$F96,0))</f>
        <v>67738</v>
      </c>
    </row>
    <row r="97" ht="15" customHeight="1" s="46">
      <c r="A97" s="78" t="n">
        <v>93</v>
      </c>
      <c r="B97" s="78" t="str">
        <f>IFERROR(MATCH($A97,Plan!$AP$6:$AP$205,0),"")</f>
        <v/>
      </c>
      <c r="C97" s="78" t="str">
        <f>IF($B97="","",INDEX(Plan!$A$6:$A$205,$B97))</f>
        <v/>
      </c>
      <c r="D97" s="78" t="str">
        <f>IF($B97="","",INDEX(Plan!$B$6:$B$205,$B97)&amp;"")</f>
        <v/>
      </c>
      <c r="E97" s="78" t="str">
        <f>IF($B97="","",INDEX(Plan!$AB$6:$AB$205,$B97))</f>
        <v/>
      </c>
      <c r="F97" s="78" t="str">
        <f>IF($B97="","",INDEX(Plan!$AC$6:$AC$205,$B97))</f>
        <v/>
      </c>
      <c r="G97" s="79" t="str">
        <f>IF($B97="","",IF(Setup!$C$21="","Fund",IF($F97+$H96&lt;=Setup!$C$21,"Fund","Cut")))</f>
        <v/>
      </c>
      <c r="H97" s="78">
        <f>IF($B97="",$H96,$H96+IF($G97="Fund",$F97,0))</f>
        <v>67738</v>
      </c>
    </row>
    <row r="98" ht="15" customHeight="1" s="46">
      <c r="A98" s="78" t="n">
        <v>94</v>
      </c>
      <c r="B98" s="78" t="str">
        <f>IFERROR(MATCH($A98,Plan!$AP$6:$AP$205,0),"")</f>
        <v/>
      </c>
      <c r="C98" s="78" t="str">
        <f>IF($B98="","",INDEX(Plan!$A$6:$A$205,$B98))</f>
        <v/>
      </c>
      <c r="D98" s="78" t="str">
        <f>IF($B98="","",INDEX(Plan!$B$6:$B$205,$B98)&amp;"")</f>
        <v/>
      </c>
      <c r="E98" s="78" t="str">
        <f>IF($B98="","",INDEX(Plan!$AB$6:$AB$205,$B98))</f>
        <v/>
      </c>
      <c r="F98" s="78" t="str">
        <f>IF($B98="","",INDEX(Plan!$AC$6:$AC$205,$B98))</f>
        <v/>
      </c>
      <c r="G98" s="79" t="str">
        <f>IF($B98="","",IF(Setup!$C$21="","Fund",IF($F98+$H97&lt;=Setup!$C$21,"Fund","Cut")))</f>
        <v/>
      </c>
      <c r="H98" s="78">
        <f>IF($B98="",$H97,$H97+IF($G98="Fund",$F98,0))</f>
        <v>67738</v>
      </c>
    </row>
    <row r="99" ht="15" customHeight="1" s="46">
      <c r="A99" s="78" t="n">
        <v>95</v>
      </c>
      <c r="B99" s="78" t="str">
        <f>IFERROR(MATCH($A99,Plan!$AP$6:$AP$205,0),"")</f>
        <v/>
      </c>
      <c r="C99" s="78" t="str">
        <f>IF($B99="","",INDEX(Plan!$A$6:$A$205,$B99))</f>
        <v/>
      </c>
      <c r="D99" s="78" t="str">
        <f>IF($B99="","",INDEX(Plan!$B$6:$B$205,$B99)&amp;"")</f>
        <v/>
      </c>
      <c r="E99" s="78" t="str">
        <f>IF($B99="","",INDEX(Plan!$AB$6:$AB$205,$B99))</f>
        <v/>
      </c>
      <c r="F99" s="78" t="str">
        <f>IF($B99="","",INDEX(Plan!$AC$6:$AC$205,$B99))</f>
        <v/>
      </c>
      <c r="G99" s="79" t="str">
        <f>IF($B99="","",IF(Setup!$C$21="","Fund",IF($F99+$H98&lt;=Setup!$C$21,"Fund","Cut")))</f>
        <v/>
      </c>
      <c r="H99" s="78">
        <f>IF($B99="",$H98,$H98+IF($G99="Fund",$F99,0))</f>
        <v>67738</v>
      </c>
    </row>
    <row r="100" ht="15" customHeight="1" s="46">
      <c r="A100" s="78" t="n">
        <v>96</v>
      </c>
      <c r="B100" s="78" t="str">
        <f>IFERROR(MATCH($A100,Plan!$AP$6:$AP$205,0),"")</f>
        <v/>
      </c>
      <c r="C100" s="78" t="str">
        <f>IF($B100="","",INDEX(Plan!$A$6:$A$205,$B100))</f>
        <v/>
      </c>
      <c r="D100" s="78" t="str">
        <f>IF($B100="","",INDEX(Plan!$B$6:$B$205,$B100)&amp;"")</f>
        <v/>
      </c>
      <c r="E100" s="78" t="str">
        <f>IF($B100="","",INDEX(Plan!$AB$6:$AB$205,$B100))</f>
        <v/>
      </c>
      <c r="F100" s="78" t="str">
        <f>IF($B100="","",INDEX(Plan!$AC$6:$AC$205,$B100))</f>
        <v/>
      </c>
      <c r="G100" s="79" t="str">
        <f>IF($B100="","",IF(Setup!$C$21="","Fund",IF($F100+$H99&lt;=Setup!$C$21,"Fund","Cut")))</f>
        <v/>
      </c>
      <c r="H100" s="78">
        <f>IF($B100="",$H99,$H99+IF($G100="Fund",$F100,0))</f>
        <v>67738</v>
      </c>
    </row>
    <row r="101" ht="15" customHeight="1" s="46">
      <c r="A101" s="78" t="n">
        <v>97</v>
      </c>
      <c r="B101" s="78" t="str">
        <f>IFERROR(MATCH($A101,Plan!$AP$6:$AP$205,0),"")</f>
        <v/>
      </c>
      <c r="C101" s="78" t="str">
        <f>IF($B101="","",INDEX(Plan!$A$6:$A$205,$B101))</f>
        <v/>
      </c>
      <c r="D101" s="78" t="str">
        <f>IF($B101="","",INDEX(Plan!$B$6:$B$205,$B101)&amp;"")</f>
        <v/>
      </c>
      <c r="E101" s="78" t="str">
        <f>IF($B101="","",INDEX(Plan!$AB$6:$AB$205,$B101))</f>
        <v/>
      </c>
      <c r="F101" s="78" t="str">
        <f>IF($B101="","",INDEX(Plan!$AC$6:$AC$205,$B101))</f>
        <v/>
      </c>
      <c r="G101" s="79" t="str">
        <f>IF($B101="","",IF(Setup!$C$21="","Fund",IF($F101+$H100&lt;=Setup!$C$21,"Fund","Cut")))</f>
        <v/>
      </c>
      <c r="H101" s="78">
        <f>IF($B101="",$H100,$H100+IF($G101="Fund",$F101,0))</f>
        <v>67738</v>
      </c>
    </row>
    <row r="102" ht="15" customHeight="1" s="46">
      <c r="A102" s="78" t="n">
        <v>98</v>
      </c>
      <c r="B102" s="78" t="str">
        <f>IFERROR(MATCH($A102,Plan!$AP$6:$AP$205,0),"")</f>
        <v/>
      </c>
      <c r="C102" s="78" t="str">
        <f>IF($B102="","",INDEX(Plan!$A$6:$A$205,$B102))</f>
        <v/>
      </c>
      <c r="D102" s="78" t="str">
        <f>IF($B102="","",INDEX(Plan!$B$6:$B$205,$B102)&amp;"")</f>
        <v/>
      </c>
      <c r="E102" s="78" t="str">
        <f>IF($B102="","",INDEX(Plan!$AB$6:$AB$205,$B102))</f>
        <v/>
      </c>
      <c r="F102" s="78" t="str">
        <f>IF($B102="","",INDEX(Plan!$AC$6:$AC$205,$B102))</f>
        <v/>
      </c>
      <c r="G102" s="79" t="str">
        <f>IF($B102="","",IF(Setup!$C$21="","Fund",IF($F102+$H101&lt;=Setup!$C$21,"Fund","Cut")))</f>
        <v/>
      </c>
      <c r="H102" s="78">
        <f>IF($B102="",$H101,$H101+IF($G102="Fund",$F102,0))</f>
        <v>67738</v>
      </c>
    </row>
    <row r="103" ht="15" customHeight="1" s="46">
      <c r="A103" s="78" t="n">
        <v>99</v>
      </c>
      <c r="B103" s="78" t="str">
        <f>IFERROR(MATCH($A103,Plan!$AP$6:$AP$205,0),"")</f>
        <v/>
      </c>
      <c r="C103" s="78" t="str">
        <f>IF($B103="","",INDEX(Plan!$A$6:$A$205,$B103))</f>
        <v/>
      </c>
      <c r="D103" s="78" t="str">
        <f>IF($B103="","",INDEX(Plan!$B$6:$B$205,$B103)&amp;"")</f>
        <v/>
      </c>
      <c r="E103" s="78" t="str">
        <f>IF($B103="","",INDEX(Plan!$AB$6:$AB$205,$B103))</f>
        <v/>
      </c>
      <c r="F103" s="78" t="str">
        <f>IF($B103="","",INDEX(Plan!$AC$6:$AC$205,$B103))</f>
        <v/>
      </c>
      <c r="G103" s="79" t="str">
        <f>IF($B103="","",IF(Setup!$C$21="","Fund",IF($F103+$H102&lt;=Setup!$C$21,"Fund","Cut")))</f>
        <v/>
      </c>
      <c r="H103" s="78">
        <f>IF($B103="",$H102,$H102+IF($G103="Fund",$F103,0))</f>
        <v>67738</v>
      </c>
    </row>
    <row r="104" ht="15" customHeight="1" s="46">
      <c r="A104" s="78" t="n">
        <v>100</v>
      </c>
      <c r="B104" s="78" t="str">
        <f>IFERROR(MATCH($A104,Plan!$AP$6:$AP$205,0),"")</f>
        <v/>
      </c>
      <c r="C104" s="78" t="str">
        <f>IF($B104="","",INDEX(Plan!$A$6:$A$205,$B104))</f>
        <v/>
      </c>
      <c r="D104" s="78" t="str">
        <f>IF($B104="","",INDEX(Plan!$B$6:$B$205,$B104)&amp;"")</f>
        <v/>
      </c>
      <c r="E104" s="78" t="str">
        <f>IF($B104="","",INDEX(Plan!$AB$6:$AB$205,$B104))</f>
        <v/>
      </c>
      <c r="F104" s="78" t="str">
        <f>IF($B104="","",INDEX(Plan!$AC$6:$AC$205,$B104))</f>
        <v/>
      </c>
      <c r="G104" s="79" t="str">
        <f>IF($B104="","",IF(Setup!$C$21="","Fund",IF($F104+$H103&lt;=Setup!$C$21,"Fund","Cut")))</f>
        <v/>
      </c>
      <c r="H104" s="78">
        <f>IF($B104="",$H103,$H103+IF($G104="Fund",$F104,0))</f>
        <v>67738</v>
      </c>
    </row>
    <row r="105" ht="15" customHeight="1" s="46">
      <c r="A105" s="78" t="n">
        <v>101</v>
      </c>
      <c r="B105" s="78" t="str">
        <f>IFERROR(MATCH($A105,Plan!$AP$6:$AP$205,0),"")</f>
        <v/>
      </c>
      <c r="C105" s="78" t="str">
        <f>IF($B105="","",INDEX(Plan!$A$6:$A$205,$B105))</f>
        <v/>
      </c>
      <c r="D105" s="78" t="str">
        <f>IF($B105="","",INDEX(Plan!$B$6:$B$205,$B105)&amp;"")</f>
        <v/>
      </c>
      <c r="E105" s="78" t="str">
        <f>IF($B105="","",INDEX(Plan!$AB$6:$AB$205,$B105))</f>
        <v/>
      </c>
      <c r="F105" s="78" t="str">
        <f>IF($B105="","",INDEX(Plan!$AC$6:$AC$205,$B105))</f>
        <v/>
      </c>
      <c r="G105" s="79" t="str">
        <f>IF($B105="","",IF(Setup!$C$21="","Fund",IF($F105+$H104&lt;=Setup!$C$21,"Fund","Cut")))</f>
        <v/>
      </c>
      <c r="H105" s="78">
        <f>IF($B105="",$H104,$H104+IF($G105="Fund",$F105,0))</f>
        <v>67738</v>
      </c>
    </row>
    <row r="106" ht="15" customHeight="1" s="46">
      <c r="A106" s="78" t="n">
        <v>102</v>
      </c>
      <c r="B106" s="78" t="str">
        <f>IFERROR(MATCH($A106,Plan!$AP$6:$AP$205,0),"")</f>
        <v/>
      </c>
      <c r="C106" s="78" t="str">
        <f>IF($B106="","",INDEX(Plan!$A$6:$A$205,$B106))</f>
        <v/>
      </c>
      <c r="D106" s="78" t="str">
        <f>IF($B106="","",INDEX(Plan!$B$6:$B$205,$B106)&amp;"")</f>
        <v/>
      </c>
      <c r="E106" s="78" t="str">
        <f>IF($B106="","",INDEX(Plan!$AB$6:$AB$205,$B106))</f>
        <v/>
      </c>
      <c r="F106" s="78" t="str">
        <f>IF($B106="","",INDEX(Plan!$AC$6:$AC$205,$B106))</f>
        <v/>
      </c>
      <c r="G106" s="79" t="str">
        <f>IF($B106="","",IF(Setup!$C$21="","Fund",IF($F106+$H105&lt;=Setup!$C$21,"Fund","Cut")))</f>
        <v/>
      </c>
      <c r="H106" s="78">
        <f>IF($B106="",$H105,$H105+IF($G106="Fund",$F106,0))</f>
        <v>67738</v>
      </c>
    </row>
    <row r="107" ht="15" customHeight="1" s="46">
      <c r="A107" s="78" t="n">
        <v>103</v>
      </c>
      <c r="B107" s="78" t="str">
        <f>IFERROR(MATCH($A107,Plan!$AP$6:$AP$205,0),"")</f>
        <v/>
      </c>
      <c r="C107" s="78" t="str">
        <f>IF($B107="","",INDEX(Plan!$A$6:$A$205,$B107))</f>
        <v/>
      </c>
      <c r="D107" s="78" t="str">
        <f>IF($B107="","",INDEX(Plan!$B$6:$B$205,$B107)&amp;"")</f>
        <v/>
      </c>
      <c r="E107" s="78" t="str">
        <f>IF($B107="","",INDEX(Plan!$AB$6:$AB$205,$B107))</f>
        <v/>
      </c>
      <c r="F107" s="78" t="str">
        <f>IF($B107="","",INDEX(Plan!$AC$6:$AC$205,$B107))</f>
        <v/>
      </c>
      <c r="G107" s="79" t="str">
        <f>IF($B107="","",IF(Setup!$C$21="","Fund",IF($F107+$H106&lt;=Setup!$C$21,"Fund","Cut")))</f>
        <v/>
      </c>
      <c r="H107" s="78">
        <f>IF($B107="",$H106,$H106+IF($G107="Fund",$F107,0))</f>
        <v>67738</v>
      </c>
    </row>
    <row r="108" ht="15" customHeight="1" s="46">
      <c r="A108" s="78" t="n">
        <v>104</v>
      </c>
      <c r="B108" s="78" t="str">
        <f>IFERROR(MATCH($A108,Plan!$AP$6:$AP$205,0),"")</f>
        <v/>
      </c>
      <c r="C108" s="78" t="str">
        <f>IF($B108="","",INDEX(Plan!$A$6:$A$205,$B108))</f>
        <v/>
      </c>
      <c r="D108" s="78" t="str">
        <f>IF($B108="","",INDEX(Plan!$B$6:$B$205,$B108)&amp;"")</f>
        <v/>
      </c>
      <c r="E108" s="78" t="str">
        <f>IF($B108="","",INDEX(Plan!$AB$6:$AB$205,$B108))</f>
        <v/>
      </c>
      <c r="F108" s="78" t="str">
        <f>IF($B108="","",INDEX(Plan!$AC$6:$AC$205,$B108))</f>
        <v/>
      </c>
      <c r="G108" s="79" t="str">
        <f>IF($B108="","",IF(Setup!$C$21="","Fund",IF($F108+$H107&lt;=Setup!$C$21,"Fund","Cut")))</f>
        <v/>
      </c>
      <c r="H108" s="78">
        <f>IF($B108="",$H107,$H107+IF($G108="Fund",$F108,0))</f>
        <v>67738</v>
      </c>
    </row>
    <row r="109" ht="15" customHeight="1" s="46">
      <c r="A109" s="78" t="n">
        <v>105</v>
      </c>
      <c r="B109" s="78" t="str">
        <f>IFERROR(MATCH($A109,Plan!$AP$6:$AP$205,0),"")</f>
        <v/>
      </c>
      <c r="C109" s="78" t="str">
        <f>IF($B109="","",INDEX(Plan!$A$6:$A$205,$B109))</f>
        <v/>
      </c>
      <c r="D109" s="78" t="str">
        <f>IF($B109="","",INDEX(Plan!$B$6:$B$205,$B109)&amp;"")</f>
        <v/>
      </c>
      <c r="E109" s="78" t="str">
        <f>IF($B109="","",INDEX(Plan!$AB$6:$AB$205,$B109))</f>
        <v/>
      </c>
      <c r="F109" s="78" t="str">
        <f>IF($B109="","",INDEX(Plan!$AC$6:$AC$205,$B109))</f>
        <v/>
      </c>
      <c r="G109" s="79" t="str">
        <f>IF($B109="","",IF(Setup!$C$21="","Fund",IF($F109+$H108&lt;=Setup!$C$21,"Fund","Cut")))</f>
        <v/>
      </c>
      <c r="H109" s="78">
        <f>IF($B109="",$H108,$H108+IF($G109="Fund",$F109,0))</f>
        <v>67738</v>
      </c>
    </row>
    <row r="110" ht="15" customHeight="1" s="46">
      <c r="A110" s="78" t="n">
        <v>106</v>
      </c>
      <c r="B110" s="78" t="str">
        <f>IFERROR(MATCH($A110,Plan!$AP$6:$AP$205,0),"")</f>
        <v/>
      </c>
      <c r="C110" s="78" t="str">
        <f>IF($B110="","",INDEX(Plan!$A$6:$A$205,$B110))</f>
        <v/>
      </c>
      <c r="D110" s="78" t="str">
        <f>IF($B110="","",INDEX(Plan!$B$6:$B$205,$B110)&amp;"")</f>
        <v/>
      </c>
      <c r="E110" s="78" t="str">
        <f>IF($B110="","",INDEX(Plan!$AB$6:$AB$205,$B110))</f>
        <v/>
      </c>
      <c r="F110" s="78" t="str">
        <f>IF($B110="","",INDEX(Plan!$AC$6:$AC$205,$B110))</f>
        <v/>
      </c>
      <c r="G110" s="79" t="str">
        <f>IF($B110="","",IF(Setup!$C$21="","Fund",IF($F110+$H109&lt;=Setup!$C$21,"Fund","Cut")))</f>
        <v/>
      </c>
      <c r="H110" s="78">
        <f>IF($B110="",$H109,$H109+IF($G110="Fund",$F110,0))</f>
        <v>67738</v>
      </c>
    </row>
    <row r="111" ht="15" customHeight="1" s="46">
      <c r="A111" s="78" t="n">
        <v>107</v>
      </c>
      <c r="B111" s="78" t="str">
        <f>IFERROR(MATCH($A111,Plan!$AP$6:$AP$205,0),"")</f>
        <v/>
      </c>
      <c r="C111" s="78" t="str">
        <f>IF($B111="","",INDEX(Plan!$A$6:$A$205,$B111))</f>
        <v/>
      </c>
      <c r="D111" s="78" t="str">
        <f>IF($B111="","",INDEX(Plan!$B$6:$B$205,$B111)&amp;"")</f>
        <v/>
      </c>
      <c r="E111" s="78" t="str">
        <f>IF($B111="","",INDEX(Plan!$AB$6:$AB$205,$B111))</f>
        <v/>
      </c>
      <c r="F111" s="78" t="str">
        <f>IF($B111="","",INDEX(Plan!$AC$6:$AC$205,$B111))</f>
        <v/>
      </c>
      <c r="G111" s="79" t="str">
        <f>IF($B111="","",IF(Setup!$C$21="","Fund",IF($F111+$H110&lt;=Setup!$C$21,"Fund","Cut")))</f>
        <v/>
      </c>
      <c r="H111" s="78">
        <f>IF($B111="",$H110,$H110+IF($G111="Fund",$F111,0))</f>
        <v>67738</v>
      </c>
    </row>
    <row r="112" ht="15" customHeight="1" s="46">
      <c r="A112" s="78" t="n">
        <v>108</v>
      </c>
      <c r="B112" s="78" t="str">
        <f>IFERROR(MATCH($A112,Plan!$AP$6:$AP$205,0),"")</f>
        <v/>
      </c>
      <c r="C112" s="78" t="str">
        <f>IF($B112="","",INDEX(Plan!$A$6:$A$205,$B112))</f>
        <v/>
      </c>
      <c r="D112" s="78" t="str">
        <f>IF($B112="","",INDEX(Plan!$B$6:$B$205,$B112)&amp;"")</f>
        <v/>
      </c>
      <c r="E112" s="78" t="str">
        <f>IF($B112="","",INDEX(Plan!$AB$6:$AB$205,$B112))</f>
        <v/>
      </c>
      <c r="F112" s="78" t="str">
        <f>IF($B112="","",INDEX(Plan!$AC$6:$AC$205,$B112))</f>
        <v/>
      </c>
      <c r="G112" s="79" t="str">
        <f>IF($B112="","",IF(Setup!$C$21="","Fund",IF($F112+$H111&lt;=Setup!$C$21,"Fund","Cut")))</f>
        <v/>
      </c>
      <c r="H112" s="78">
        <f>IF($B112="",$H111,$H111+IF($G112="Fund",$F112,0))</f>
        <v>67738</v>
      </c>
    </row>
    <row r="113" ht="15" customHeight="1" s="46">
      <c r="A113" s="78" t="n">
        <v>109</v>
      </c>
      <c r="B113" s="78" t="str">
        <f>IFERROR(MATCH($A113,Plan!$AP$6:$AP$205,0),"")</f>
        <v/>
      </c>
      <c r="C113" s="78" t="str">
        <f>IF($B113="","",INDEX(Plan!$A$6:$A$205,$B113))</f>
        <v/>
      </c>
      <c r="D113" s="78" t="str">
        <f>IF($B113="","",INDEX(Plan!$B$6:$B$205,$B113)&amp;"")</f>
        <v/>
      </c>
      <c r="E113" s="78" t="str">
        <f>IF($B113="","",INDEX(Plan!$AB$6:$AB$205,$B113))</f>
        <v/>
      </c>
      <c r="F113" s="78" t="str">
        <f>IF($B113="","",INDEX(Plan!$AC$6:$AC$205,$B113))</f>
        <v/>
      </c>
      <c r="G113" s="79" t="str">
        <f>IF($B113="","",IF(Setup!$C$21="","Fund",IF($F113+$H112&lt;=Setup!$C$21,"Fund","Cut")))</f>
        <v/>
      </c>
      <c r="H113" s="78">
        <f>IF($B113="",$H112,$H112+IF($G113="Fund",$F113,0))</f>
        <v>67738</v>
      </c>
    </row>
    <row r="114" ht="15" customHeight="1" s="46">
      <c r="A114" s="78" t="n">
        <v>110</v>
      </c>
      <c r="B114" s="78" t="str">
        <f>IFERROR(MATCH($A114,Plan!$AP$6:$AP$205,0),"")</f>
        <v/>
      </c>
      <c r="C114" s="78" t="str">
        <f>IF($B114="","",INDEX(Plan!$A$6:$A$205,$B114))</f>
        <v/>
      </c>
      <c r="D114" s="78" t="str">
        <f>IF($B114="","",INDEX(Plan!$B$6:$B$205,$B114)&amp;"")</f>
        <v/>
      </c>
      <c r="E114" s="78" t="str">
        <f>IF($B114="","",INDEX(Plan!$AB$6:$AB$205,$B114))</f>
        <v/>
      </c>
      <c r="F114" s="78" t="str">
        <f>IF($B114="","",INDEX(Plan!$AC$6:$AC$205,$B114))</f>
        <v/>
      </c>
      <c r="G114" s="79" t="str">
        <f>IF($B114="","",IF(Setup!$C$21="","Fund",IF($F114+$H113&lt;=Setup!$C$21,"Fund","Cut")))</f>
        <v/>
      </c>
      <c r="H114" s="78">
        <f>IF($B114="",$H113,$H113+IF($G114="Fund",$F114,0))</f>
        <v>67738</v>
      </c>
    </row>
    <row r="115" ht="15" customHeight="1" s="46">
      <c r="A115" s="78" t="n">
        <v>111</v>
      </c>
      <c r="B115" s="78" t="str">
        <f>IFERROR(MATCH($A115,Plan!$AP$6:$AP$205,0),"")</f>
        <v/>
      </c>
      <c r="C115" s="78" t="str">
        <f>IF($B115="","",INDEX(Plan!$A$6:$A$205,$B115))</f>
        <v/>
      </c>
      <c r="D115" s="78" t="str">
        <f>IF($B115="","",INDEX(Plan!$B$6:$B$205,$B115)&amp;"")</f>
        <v/>
      </c>
      <c r="E115" s="78" t="str">
        <f>IF($B115="","",INDEX(Plan!$AB$6:$AB$205,$B115))</f>
        <v/>
      </c>
      <c r="F115" s="78" t="str">
        <f>IF($B115="","",INDEX(Plan!$AC$6:$AC$205,$B115))</f>
        <v/>
      </c>
      <c r="G115" s="79" t="str">
        <f>IF($B115="","",IF(Setup!$C$21="","Fund",IF($F115+$H114&lt;=Setup!$C$21,"Fund","Cut")))</f>
        <v/>
      </c>
      <c r="H115" s="78">
        <f>IF($B115="",$H114,$H114+IF($G115="Fund",$F115,0))</f>
        <v>67738</v>
      </c>
    </row>
    <row r="116" ht="15" customHeight="1" s="46">
      <c r="A116" s="78" t="n">
        <v>112</v>
      </c>
      <c r="B116" s="78" t="str">
        <f>IFERROR(MATCH($A116,Plan!$AP$6:$AP$205,0),"")</f>
        <v/>
      </c>
      <c r="C116" s="78" t="str">
        <f>IF($B116="","",INDEX(Plan!$A$6:$A$205,$B116))</f>
        <v/>
      </c>
      <c r="D116" s="78" t="str">
        <f>IF($B116="","",INDEX(Plan!$B$6:$B$205,$B116)&amp;"")</f>
        <v/>
      </c>
      <c r="E116" s="78" t="str">
        <f>IF($B116="","",INDEX(Plan!$AB$6:$AB$205,$B116))</f>
        <v/>
      </c>
      <c r="F116" s="78" t="str">
        <f>IF($B116="","",INDEX(Plan!$AC$6:$AC$205,$B116))</f>
        <v/>
      </c>
      <c r="G116" s="79" t="str">
        <f>IF($B116="","",IF(Setup!$C$21="","Fund",IF($F116+$H115&lt;=Setup!$C$21,"Fund","Cut")))</f>
        <v/>
      </c>
      <c r="H116" s="78">
        <f>IF($B116="",$H115,$H115+IF($G116="Fund",$F116,0))</f>
        <v>67738</v>
      </c>
    </row>
    <row r="117" ht="15" customHeight="1" s="46">
      <c r="A117" s="78" t="n">
        <v>113</v>
      </c>
      <c r="B117" s="78" t="str">
        <f>IFERROR(MATCH($A117,Plan!$AP$6:$AP$205,0),"")</f>
        <v/>
      </c>
      <c r="C117" s="78" t="str">
        <f>IF($B117="","",INDEX(Plan!$A$6:$A$205,$B117))</f>
        <v/>
      </c>
      <c r="D117" s="78" t="str">
        <f>IF($B117="","",INDEX(Plan!$B$6:$B$205,$B117)&amp;"")</f>
        <v/>
      </c>
      <c r="E117" s="78" t="str">
        <f>IF($B117="","",INDEX(Plan!$AB$6:$AB$205,$B117))</f>
        <v/>
      </c>
      <c r="F117" s="78" t="str">
        <f>IF($B117="","",INDEX(Plan!$AC$6:$AC$205,$B117))</f>
        <v/>
      </c>
      <c r="G117" s="79" t="str">
        <f>IF($B117="","",IF(Setup!$C$21="","Fund",IF($F117+$H116&lt;=Setup!$C$21,"Fund","Cut")))</f>
        <v/>
      </c>
      <c r="H117" s="78">
        <f>IF($B117="",$H116,$H116+IF($G117="Fund",$F117,0))</f>
        <v>67738</v>
      </c>
    </row>
    <row r="118" ht="15" customHeight="1" s="46">
      <c r="A118" s="78" t="n">
        <v>114</v>
      </c>
      <c r="B118" s="78" t="str">
        <f>IFERROR(MATCH($A118,Plan!$AP$6:$AP$205,0),"")</f>
        <v/>
      </c>
      <c r="C118" s="78" t="str">
        <f>IF($B118="","",INDEX(Plan!$A$6:$A$205,$B118))</f>
        <v/>
      </c>
      <c r="D118" s="78" t="str">
        <f>IF($B118="","",INDEX(Plan!$B$6:$B$205,$B118)&amp;"")</f>
        <v/>
      </c>
      <c r="E118" s="78" t="str">
        <f>IF($B118="","",INDEX(Plan!$AB$6:$AB$205,$B118))</f>
        <v/>
      </c>
      <c r="F118" s="78" t="str">
        <f>IF($B118="","",INDEX(Plan!$AC$6:$AC$205,$B118))</f>
        <v/>
      </c>
      <c r="G118" s="79" t="str">
        <f>IF($B118="","",IF(Setup!$C$21="","Fund",IF($F118+$H117&lt;=Setup!$C$21,"Fund","Cut")))</f>
        <v/>
      </c>
      <c r="H118" s="78">
        <f>IF($B118="",$H117,$H117+IF($G118="Fund",$F118,0))</f>
        <v>67738</v>
      </c>
    </row>
    <row r="119" ht="15" customHeight="1" s="46">
      <c r="A119" s="78" t="n">
        <v>115</v>
      </c>
      <c r="B119" s="78" t="str">
        <f>IFERROR(MATCH($A119,Plan!$AP$6:$AP$205,0),"")</f>
        <v/>
      </c>
      <c r="C119" s="78" t="str">
        <f>IF($B119="","",INDEX(Plan!$A$6:$A$205,$B119))</f>
        <v/>
      </c>
      <c r="D119" s="78" t="str">
        <f>IF($B119="","",INDEX(Plan!$B$6:$B$205,$B119)&amp;"")</f>
        <v/>
      </c>
      <c r="E119" s="78" t="str">
        <f>IF($B119="","",INDEX(Plan!$AB$6:$AB$205,$B119))</f>
        <v/>
      </c>
      <c r="F119" s="78" t="str">
        <f>IF($B119="","",INDEX(Plan!$AC$6:$AC$205,$B119))</f>
        <v/>
      </c>
      <c r="G119" s="79" t="str">
        <f>IF($B119="","",IF(Setup!$C$21="","Fund",IF($F119+$H118&lt;=Setup!$C$21,"Fund","Cut")))</f>
        <v/>
      </c>
      <c r="H119" s="78">
        <f>IF($B119="",$H118,$H118+IF($G119="Fund",$F119,0))</f>
        <v>67738</v>
      </c>
    </row>
    <row r="120" ht="15" customHeight="1" s="46">
      <c r="A120" s="78" t="n">
        <v>116</v>
      </c>
      <c r="B120" s="78" t="str">
        <f>IFERROR(MATCH($A120,Plan!$AP$6:$AP$205,0),"")</f>
        <v/>
      </c>
      <c r="C120" s="78" t="str">
        <f>IF($B120="","",INDEX(Plan!$A$6:$A$205,$B120))</f>
        <v/>
      </c>
      <c r="D120" s="78" t="str">
        <f>IF($B120="","",INDEX(Plan!$B$6:$B$205,$B120)&amp;"")</f>
        <v/>
      </c>
      <c r="E120" s="78" t="str">
        <f>IF($B120="","",INDEX(Plan!$AB$6:$AB$205,$B120))</f>
        <v/>
      </c>
      <c r="F120" s="78" t="str">
        <f>IF($B120="","",INDEX(Plan!$AC$6:$AC$205,$B120))</f>
        <v/>
      </c>
      <c r="G120" s="79" t="str">
        <f>IF($B120="","",IF(Setup!$C$21="","Fund",IF($F120+$H119&lt;=Setup!$C$21,"Fund","Cut")))</f>
        <v/>
      </c>
      <c r="H120" s="78">
        <f>IF($B120="",$H119,$H119+IF($G120="Fund",$F120,0))</f>
        <v>67738</v>
      </c>
    </row>
    <row r="121" ht="15" customHeight="1" s="46">
      <c r="A121" s="78" t="n">
        <v>117</v>
      </c>
      <c r="B121" s="78" t="str">
        <f>IFERROR(MATCH($A121,Plan!$AP$6:$AP$205,0),"")</f>
        <v/>
      </c>
      <c r="C121" s="78" t="str">
        <f>IF($B121="","",INDEX(Plan!$A$6:$A$205,$B121))</f>
        <v/>
      </c>
      <c r="D121" s="78" t="str">
        <f>IF($B121="","",INDEX(Plan!$B$6:$B$205,$B121)&amp;"")</f>
        <v/>
      </c>
      <c r="E121" s="78" t="str">
        <f>IF($B121="","",INDEX(Plan!$AB$6:$AB$205,$B121))</f>
        <v/>
      </c>
      <c r="F121" s="78" t="str">
        <f>IF($B121="","",INDEX(Plan!$AC$6:$AC$205,$B121))</f>
        <v/>
      </c>
      <c r="G121" s="79" t="str">
        <f>IF($B121="","",IF(Setup!$C$21="","Fund",IF($F121+$H120&lt;=Setup!$C$21,"Fund","Cut")))</f>
        <v/>
      </c>
      <c r="H121" s="78">
        <f>IF($B121="",$H120,$H120+IF($G121="Fund",$F121,0))</f>
        <v>67738</v>
      </c>
    </row>
    <row r="122" ht="15" customHeight="1" s="46">
      <c r="A122" s="78" t="n">
        <v>118</v>
      </c>
      <c r="B122" s="78" t="str">
        <f>IFERROR(MATCH($A122,Plan!$AP$6:$AP$205,0),"")</f>
        <v/>
      </c>
      <c r="C122" s="78" t="str">
        <f>IF($B122="","",INDEX(Plan!$A$6:$A$205,$B122))</f>
        <v/>
      </c>
      <c r="D122" s="78" t="str">
        <f>IF($B122="","",INDEX(Plan!$B$6:$B$205,$B122)&amp;"")</f>
        <v/>
      </c>
      <c r="E122" s="78" t="str">
        <f>IF($B122="","",INDEX(Plan!$AB$6:$AB$205,$B122))</f>
        <v/>
      </c>
      <c r="F122" s="78" t="str">
        <f>IF($B122="","",INDEX(Plan!$AC$6:$AC$205,$B122))</f>
        <v/>
      </c>
      <c r="G122" s="79" t="str">
        <f>IF($B122="","",IF(Setup!$C$21="","Fund",IF($F122+$H121&lt;=Setup!$C$21,"Fund","Cut")))</f>
        <v/>
      </c>
      <c r="H122" s="78">
        <f>IF($B122="",$H121,$H121+IF($G122="Fund",$F122,0))</f>
        <v>67738</v>
      </c>
    </row>
    <row r="123" ht="15" customHeight="1" s="46">
      <c r="A123" s="78" t="n">
        <v>119</v>
      </c>
      <c r="B123" s="78" t="str">
        <f>IFERROR(MATCH($A123,Plan!$AP$6:$AP$205,0),"")</f>
        <v/>
      </c>
      <c r="C123" s="78" t="str">
        <f>IF($B123="","",INDEX(Plan!$A$6:$A$205,$B123))</f>
        <v/>
      </c>
      <c r="D123" s="78" t="str">
        <f>IF($B123="","",INDEX(Plan!$B$6:$B$205,$B123)&amp;"")</f>
        <v/>
      </c>
      <c r="E123" s="78" t="str">
        <f>IF($B123="","",INDEX(Plan!$AB$6:$AB$205,$B123))</f>
        <v/>
      </c>
      <c r="F123" s="78" t="str">
        <f>IF($B123="","",INDEX(Plan!$AC$6:$AC$205,$B123))</f>
        <v/>
      </c>
      <c r="G123" s="79" t="str">
        <f>IF($B123="","",IF(Setup!$C$21="","Fund",IF($F123+$H122&lt;=Setup!$C$21,"Fund","Cut")))</f>
        <v/>
      </c>
      <c r="H123" s="78">
        <f>IF($B123="",$H122,$H122+IF($G123="Fund",$F123,0))</f>
        <v>67738</v>
      </c>
    </row>
    <row r="124" ht="15" customHeight="1" s="46">
      <c r="A124" s="78" t="n">
        <v>120</v>
      </c>
      <c r="B124" s="78" t="str">
        <f>IFERROR(MATCH($A124,Plan!$AP$6:$AP$205,0),"")</f>
        <v/>
      </c>
      <c r="C124" s="78" t="str">
        <f>IF($B124="","",INDEX(Plan!$A$6:$A$205,$B124))</f>
        <v/>
      </c>
      <c r="D124" s="78" t="str">
        <f>IF($B124="","",INDEX(Plan!$B$6:$B$205,$B124)&amp;"")</f>
        <v/>
      </c>
      <c r="E124" s="78" t="str">
        <f>IF($B124="","",INDEX(Plan!$AB$6:$AB$205,$B124))</f>
        <v/>
      </c>
      <c r="F124" s="78" t="str">
        <f>IF($B124="","",INDEX(Plan!$AC$6:$AC$205,$B124))</f>
        <v/>
      </c>
      <c r="G124" s="79" t="str">
        <f>IF($B124="","",IF(Setup!$C$21="","Fund",IF($F124+$H123&lt;=Setup!$C$21,"Fund","Cut")))</f>
        <v/>
      </c>
      <c r="H124" s="78">
        <f>IF($B124="",$H123,$H123+IF($G124="Fund",$F124,0))</f>
        <v>67738</v>
      </c>
    </row>
    <row r="125" ht="15" customHeight="1" s="46">
      <c r="A125" s="78" t="n">
        <v>121</v>
      </c>
      <c r="B125" s="78" t="str">
        <f>IFERROR(MATCH($A125,Plan!$AP$6:$AP$205,0),"")</f>
        <v/>
      </c>
      <c r="C125" s="78" t="str">
        <f>IF($B125="","",INDEX(Plan!$A$6:$A$205,$B125))</f>
        <v/>
      </c>
      <c r="D125" s="78" t="str">
        <f>IF($B125="","",INDEX(Plan!$B$6:$B$205,$B125)&amp;"")</f>
        <v/>
      </c>
      <c r="E125" s="78" t="str">
        <f>IF($B125="","",INDEX(Plan!$AB$6:$AB$205,$B125))</f>
        <v/>
      </c>
      <c r="F125" s="78" t="str">
        <f>IF($B125="","",INDEX(Plan!$AC$6:$AC$205,$B125))</f>
        <v/>
      </c>
      <c r="G125" s="79" t="str">
        <f>IF($B125="","",IF(Setup!$C$21="","Fund",IF($F125+$H124&lt;=Setup!$C$21,"Fund","Cut")))</f>
        <v/>
      </c>
      <c r="H125" s="78">
        <f>IF($B125="",$H124,$H124+IF($G125="Fund",$F125,0))</f>
        <v>67738</v>
      </c>
    </row>
    <row r="126" ht="15" customHeight="1" s="46">
      <c r="A126" s="78" t="n">
        <v>122</v>
      </c>
      <c r="B126" s="78" t="str">
        <f>IFERROR(MATCH($A126,Plan!$AP$6:$AP$205,0),"")</f>
        <v/>
      </c>
      <c r="C126" s="78" t="str">
        <f>IF($B126="","",INDEX(Plan!$A$6:$A$205,$B126))</f>
        <v/>
      </c>
      <c r="D126" s="78" t="str">
        <f>IF($B126="","",INDEX(Plan!$B$6:$B$205,$B126)&amp;"")</f>
        <v/>
      </c>
      <c r="E126" s="78" t="str">
        <f>IF($B126="","",INDEX(Plan!$AB$6:$AB$205,$B126))</f>
        <v/>
      </c>
      <c r="F126" s="78" t="str">
        <f>IF($B126="","",INDEX(Plan!$AC$6:$AC$205,$B126))</f>
        <v/>
      </c>
      <c r="G126" s="79" t="str">
        <f>IF($B126="","",IF(Setup!$C$21="","Fund",IF($F126+$H125&lt;=Setup!$C$21,"Fund","Cut")))</f>
        <v/>
      </c>
      <c r="H126" s="78">
        <f>IF($B126="",$H125,$H125+IF($G126="Fund",$F126,0))</f>
        <v>67738</v>
      </c>
    </row>
    <row r="127" ht="15" customHeight="1" s="46">
      <c r="A127" s="78" t="n">
        <v>123</v>
      </c>
      <c r="B127" s="78" t="str">
        <f>IFERROR(MATCH($A127,Plan!$AP$6:$AP$205,0),"")</f>
        <v/>
      </c>
      <c r="C127" s="78" t="str">
        <f>IF($B127="","",INDEX(Plan!$A$6:$A$205,$B127))</f>
        <v/>
      </c>
      <c r="D127" s="78" t="str">
        <f>IF($B127="","",INDEX(Plan!$B$6:$B$205,$B127)&amp;"")</f>
        <v/>
      </c>
      <c r="E127" s="78" t="str">
        <f>IF($B127="","",INDEX(Plan!$AB$6:$AB$205,$B127))</f>
        <v/>
      </c>
      <c r="F127" s="78" t="str">
        <f>IF($B127="","",INDEX(Plan!$AC$6:$AC$205,$B127))</f>
        <v/>
      </c>
      <c r="G127" s="79" t="str">
        <f>IF($B127="","",IF(Setup!$C$21="","Fund",IF($F127+$H126&lt;=Setup!$C$21,"Fund","Cut")))</f>
        <v/>
      </c>
      <c r="H127" s="78">
        <f>IF($B127="",$H126,$H126+IF($G127="Fund",$F127,0))</f>
        <v>67738</v>
      </c>
    </row>
    <row r="128" ht="15" customHeight="1" s="46">
      <c r="A128" s="78" t="n">
        <v>124</v>
      </c>
      <c r="B128" s="78" t="str">
        <f>IFERROR(MATCH($A128,Plan!$AP$6:$AP$205,0),"")</f>
        <v/>
      </c>
      <c r="C128" s="78" t="str">
        <f>IF($B128="","",INDEX(Plan!$A$6:$A$205,$B128))</f>
        <v/>
      </c>
      <c r="D128" s="78" t="str">
        <f>IF($B128="","",INDEX(Plan!$B$6:$B$205,$B128)&amp;"")</f>
        <v/>
      </c>
      <c r="E128" s="78" t="str">
        <f>IF($B128="","",INDEX(Plan!$AB$6:$AB$205,$B128))</f>
        <v/>
      </c>
      <c r="F128" s="78" t="str">
        <f>IF($B128="","",INDEX(Plan!$AC$6:$AC$205,$B128))</f>
        <v/>
      </c>
      <c r="G128" s="79" t="str">
        <f>IF($B128="","",IF(Setup!$C$21="","Fund",IF($F128+$H127&lt;=Setup!$C$21,"Fund","Cut")))</f>
        <v/>
      </c>
      <c r="H128" s="78">
        <f>IF($B128="",$H127,$H127+IF($G128="Fund",$F128,0))</f>
        <v>67738</v>
      </c>
    </row>
    <row r="129" ht="15" customHeight="1" s="46">
      <c r="A129" s="78" t="n">
        <v>125</v>
      </c>
      <c r="B129" s="78" t="str">
        <f>IFERROR(MATCH($A129,Plan!$AP$6:$AP$205,0),"")</f>
        <v/>
      </c>
      <c r="C129" s="78" t="str">
        <f>IF($B129="","",INDEX(Plan!$A$6:$A$205,$B129))</f>
        <v/>
      </c>
      <c r="D129" s="78" t="str">
        <f>IF($B129="","",INDEX(Plan!$B$6:$B$205,$B129)&amp;"")</f>
        <v/>
      </c>
      <c r="E129" s="78" t="str">
        <f>IF($B129="","",INDEX(Plan!$AB$6:$AB$205,$B129))</f>
        <v/>
      </c>
      <c r="F129" s="78" t="str">
        <f>IF($B129="","",INDEX(Plan!$AC$6:$AC$205,$B129))</f>
        <v/>
      </c>
      <c r="G129" s="79" t="str">
        <f>IF($B129="","",IF(Setup!$C$21="","Fund",IF($F129+$H128&lt;=Setup!$C$21,"Fund","Cut")))</f>
        <v/>
      </c>
      <c r="H129" s="78">
        <f>IF($B129="",$H128,$H128+IF($G129="Fund",$F129,0))</f>
        <v>67738</v>
      </c>
    </row>
    <row r="130" ht="15" customHeight="1" s="46">
      <c r="A130" s="78" t="n">
        <v>126</v>
      </c>
      <c r="B130" s="78" t="str">
        <f>IFERROR(MATCH($A130,Plan!$AP$6:$AP$205,0),"")</f>
        <v/>
      </c>
      <c r="C130" s="78" t="str">
        <f>IF($B130="","",INDEX(Plan!$A$6:$A$205,$B130))</f>
        <v/>
      </c>
      <c r="D130" s="78" t="str">
        <f>IF($B130="","",INDEX(Plan!$B$6:$B$205,$B130)&amp;"")</f>
        <v/>
      </c>
      <c r="E130" s="78" t="str">
        <f>IF($B130="","",INDEX(Plan!$AB$6:$AB$205,$B130))</f>
        <v/>
      </c>
      <c r="F130" s="78" t="str">
        <f>IF($B130="","",INDEX(Plan!$AC$6:$AC$205,$B130))</f>
        <v/>
      </c>
      <c r="G130" s="79" t="str">
        <f>IF($B130="","",IF(Setup!$C$21="","Fund",IF($F130+$H129&lt;=Setup!$C$21,"Fund","Cut")))</f>
        <v/>
      </c>
      <c r="H130" s="78">
        <f>IF($B130="",$H129,$H129+IF($G130="Fund",$F130,0))</f>
        <v>67738</v>
      </c>
    </row>
    <row r="131" ht="15" customHeight="1" s="46">
      <c r="A131" s="78" t="n">
        <v>127</v>
      </c>
      <c r="B131" s="78" t="str">
        <f>IFERROR(MATCH($A131,Plan!$AP$6:$AP$205,0),"")</f>
        <v/>
      </c>
      <c r="C131" s="78" t="str">
        <f>IF($B131="","",INDEX(Plan!$A$6:$A$205,$B131))</f>
        <v/>
      </c>
      <c r="D131" s="78" t="str">
        <f>IF($B131="","",INDEX(Plan!$B$6:$B$205,$B131)&amp;"")</f>
        <v/>
      </c>
      <c r="E131" s="78" t="str">
        <f>IF($B131="","",INDEX(Plan!$AB$6:$AB$205,$B131))</f>
        <v/>
      </c>
      <c r="F131" s="78" t="str">
        <f>IF($B131="","",INDEX(Plan!$AC$6:$AC$205,$B131))</f>
        <v/>
      </c>
      <c r="G131" s="79" t="str">
        <f>IF($B131="","",IF(Setup!$C$21="","Fund",IF($F131+$H130&lt;=Setup!$C$21,"Fund","Cut")))</f>
        <v/>
      </c>
      <c r="H131" s="78">
        <f>IF($B131="",$H130,$H130+IF($G131="Fund",$F131,0))</f>
        <v>67738</v>
      </c>
    </row>
    <row r="132" ht="15" customHeight="1" s="46">
      <c r="A132" s="78" t="n">
        <v>128</v>
      </c>
      <c r="B132" s="78" t="str">
        <f>IFERROR(MATCH($A132,Plan!$AP$6:$AP$205,0),"")</f>
        <v/>
      </c>
      <c r="C132" s="78" t="str">
        <f>IF($B132="","",INDEX(Plan!$A$6:$A$205,$B132))</f>
        <v/>
      </c>
      <c r="D132" s="78" t="str">
        <f>IF($B132="","",INDEX(Plan!$B$6:$B$205,$B132)&amp;"")</f>
        <v/>
      </c>
      <c r="E132" s="78" t="str">
        <f>IF($B132="","",INDEX(Plan!$AB$6:$AB$205,$B132))</f>
        <v/>
      </c>
      <c r="F132" s="78" t="str">
        <f>IF($B132="","",INDEX(Plan!$AC$6:$AC$205,$B132))</f>
        <v/>
      </c>
      <c r="G132" s="79" t="str">
        <f>IF($B132="","",IF(Setup!$C$21="","Fund",IF($F132+$H131&lt;=Setup!$C$21,"Fund","Cut")))</f>
        <v/>
      </c>
      <c r="H132" s="78">
        <f>IF($B132="",$H131,$H131+IF($G132="Fund",$F132,0))</f>
        <v>67738</v>
      </c>
    </row>
    <row r="133" ht="15" customHeight="1" s="46">
      <c r="A133" s="78" t="n">
        <v>129</v>
      </c>
      <c r="B133" s="78" t="str">
        <f>IFERROR(MATCH($A133,Plan!$AP$6:$AP$205,0),"")</f>
        <v/>
      </c>
      <c r="C133" s="78" t="str">
        <f>IF($B133="","",INDEX(Plan!$A$6:$A$205,$B133))</f>
        <v/>
      </c>
      <c r="D133" s="78" t="str">
        <f>IF($B133="","",INDEX(Plan!$B$6:$B$205,$B133)&amp;"")</f>
        <v/>
      </c>
      <c r="E133" s="78" t="str">
        <f>IF($B133="","",INDEX(Plan!$AB$6:$AB$205,$B133))</f>
        <v/>
      </c>
      <c r="F133" s="78" t="str">
        <f>IF($B133="","",INDEX(Plan!$AC$6:$AC$205,$B133))</f>
        <v/>
      </c>
      <c r="G133" s="79" t="str">
        <f>IF($B133="","",IF(Setup!$C$21="","Fund",IF($F133+$H132&lt;=Setup!$C$21,"Fund","Cut")))</f>
        <v/>
      </c>
      <c r="H133" s="78">
        <f>IF($B133="",$H132,$H132+IF($G133="Fund",$F133,0))</f>
        <v>67738</v>
      </c>
    </row>
    <row r="134" ht="15" customHeight="1" s="46">
      <c r="A134" s="78" t="n">
        <v>130</v>
      </c>
      <c r="B134" s="78" t="str">
        <f>IFERROR(MATCH($A134,Plan!$AP$6:$AP$205,0),"")</f>
        <v/>
      </c>
      <c r="C134" s="78" t="str">
        <f>IF($B134="","",INDEX(Plan!$A$6:$A$205,$B134))</f>
        <v/>
      </c>
      <c r="D134" s="78" t="str">
        <f>IF($B134="","",INDEX(Plan!$B$6:$B$205,$B134)&amp;"")</f>
        <v/>
      </c>
      <c r="E134" s="78" t="str">
        <f>IF($B134="","",INDEX(Plan!$AB$6:$AB$205,$B134))</f>
        <v/>
      </c>
      <c r="F134" s="78" t="str">
        <f>IF($B134="","",INDEX(Plan!$AC$6:$AC$205,$B134))</f>
        <v/>
      </c>
      <c r="G134" s="79" t="str">
        <f>IF($B134="","",IF(Setup!$C$21="","Fund",IF($F134+$H133&lt;=Setup!$C$21,"Fund","Cut")))</f>
        <v/>
      </c>
      <c r="H134" s="78">
        <f>IF($B134="",$H133,$H133+IF($G134="Fund",$F134,0))</f>
        <v>67738</v>
      </c>
    </row>
    <row r="135" ht="15" customHeight="1" s="46">
      <c r="A135" s="78" t="n">
        <v>131</v>
      </c>
      <c r="B135" s="78" t="str">
        <f>IFERROR(MATCH($A135,Plan!$AP$6:$AP$205,0),"")</f>
        <v/>
      </c>
      <c r="C135" s="78" t="str">
        <f>IF($B135="","",INDEX(Plan!$A$6:$A$205,$B135))</f>
        <v/>
      </c>
      <c r="D135" s="78" t="str">
        <f>IF($B135="","",INDEX(Plan!$B$6:$B$205,$B135)&amp;"")</f>
        <v/>
      </c>
      <c r="E135" s="78" t="str">
        <f>IF($B135="","",INDEX(Plan!$AB$6:$AB$205,$B135))</f>
        <v/>
      </c>
      <c r="F135" s="78" t="str">
        <f>IF($B135="","",INDEX(Plan!$AC$6:$AC$205,$B135))</f>
        <v/>
      </c>
      <c r="G135" s="79" t="str">
        <f>IF($B135="","",IF(Setup!$C$21="","Fund",IF($F135+$H134&lt;=Setup!$C$21,"Fund","Cut")))</f>
        <v/>
      </c>
      <c r="H135" s="78">
        <f>IF($B135="",$H134,$H134+IF($G135="Fund",$F135,0))</f>
        <v>67738</v>
      </c>
    </row>
    <row r="136" ht="15" customHeight="1" s="46">
      <c r="A136" s="78" t="n">
        <v>132</v>
      </c>
      <c r="B136" s="78" t="str">
        <f>IFERROR(MATCH($A136,Plan!$AP$6:$AP$205,0),"")</f>
        <v/>
      </c>
      <c r="C136" s="78" t="str">
        <f>IF($B136="","",INDEX(Plan!$A$6:$A$205,$B136))</f>
        <v/>
      </c>
      <c r="D136" s="78" t="str">
        <f>IF($B136="","",INDEX(Plan!$B$6:$B$205,$B136)&amp;"")</f>
        <v/>
      </c>
      <c r="E136" s="78" t="str">
        <f>IF($B136="","",INDEX(Plan!$AB$6:$AB$205,$B136))</f>
        <v/>
      </c>
      <c r="F136" s="78" t="str">
        <f>IF($B136="","",INDEX(Plan!$AC$6:$AC$205,$B136))</f>
        <v/>
      </c>
      <c r="G136" s="79" t="str">
        <f>IF($B136="","",IF(Setup!$C$21="","Fund",IF($F136+$H135&lt;=Setup!$C$21,"Fund","Cut")))</f>
        <v/>
      </c>
      <c r="H136" s="78">
        <f>IF($B136="",$H135,$H135+IF($G136="Fund",$F136,0))</f>
        <v>67738</v>
      </c>
    </row>
    <row r="137" ht="15" customHeight="1" s="46">
      <c r="A137" s="78" t="n">
        <v>133</v>
      </c>
      <c r="B137" s="78" t="str">
        <f>IFERROR(MATCH($A137,Plan!$AP$6:$AP$205,0),"")</f>
        <v/>
      </c>
      <c r="C137" s="78" t="str">
        <f>IF($B137="","",INDEX(Plan!$A$6:$A$205,$B137))</f>
        <v/>
      </c>
      <c r="D137" s="78" t="str">
        <f>IF($B137="","",INDEX(Plan!$B$6:$B$205,$B137)&amp;"")</f>
        <v/>
      </c>
      <c r="E137" s="78" t="str">
        <f>IF($B137="","",INDEX(Plan!$AB$6:$AB$205,$B137))</f>
        <v/>
      </c>
      <c r="F137" s="78" t="str">
        <f>IF($B137="","",INDEX(Plan!$AC$6:$AC$205,$B137))</f>
        <v/>
      </c>
      <c r="G137" s="79" t="str">
        <f>IF($B137="","",IF(Setup!$C$21="","Fund",IF($F137+$H136&lt;=Setup!$C$21,"Fund","Cut")))</f>
        <v/>
      </c>
      <c r="H137" s="78">
        <f>IF($B137="",$H136,$H136+IF($G137="Fund",$F137,0))</f>
        <v>67738</v>
      </c>
    </row>
    <row r="138" ht="15" customHeight="1" s="46">
      <c r="A138" s="78" t="n">
        <v>134</v>
      </c>
      <c r="B138" s="78" t="str">
        <f>IFERROR(MATCH($A138,Plan!$AP$6:$AP$205,0),"")</f>
        <v/>
      </c>
      <c r="C138" s="78" t="str">
        <f>IF($B138="","",INDEX(Plan!$A$6:$A$205,$B138))</f>
        <v/>
      </c>
      <c r="D138" s="78" t="str">
        <f>IF($B138="","",INDEX(Plan!$B$6:$B$205,$B138)&amp;"")</f>
        <v/>
      </c>
      <c r="E138" s="78" t="str">
        <f>IF($B138="","",INDEX(Plan!$AB$6:$AB$205,$B138))</f>
        <v/>
      </c>
      <c r="F138" s="78" t="str">
        <f>IF($B138="","",INDEX(Plan!$AC$6:$AC$205,$B138))</f>
        <v/>
      </c>
      <c r="G138" s="79" t="str">
        <f>IF($B138="","",IF(Setup!$C$21="","Fund",IF($F138+$H137&lt;=Setup!$C$21,"Fund","Cut")))</f>
        <v/>
      </c>
      <c r="H138" s="78">
        <f>IF($B138="",$H137,$H137+IF($G138="Fund",$F138,0))</f>
        <v>67738</v>
      </c>
    </row>
    <row r="139" ht="15" customHeight="1" s="46">
      <c r="A139" s="78" t="n">
        <v>135</v>
      </c>
      <c r="B139" s="78" t="str">
        <f>IFERROR(MATCH($A139,Plan!$AP$6:$AP$205,0),"")</f>
        <v/>
      </c>
      <c r="C139" s="78" t="str">
        <f>IF($B139="","",INDEX(Plan!$A$6:$A$205,$B139))</f>
        <v/>
      </c>
      <c r="D139" s="78" t="str">
        <f>IF($B139="","",INDEX(Plan!$B$6:$B$205,$B139)&amp;"")</f>
        <v/>
      </c>
      <c r="E139" s="78" t="str">
        <f>IF($B139="","",INDEX(Plan!$AB$6:$AB$205,$B139))</f>
        <v/>
      </c>
      <c r="F139" s="78" t="str">
        <f>IF($B139="","",INDEX(Plan!$AC$6:$AC$205,$B139))</f>
        <v/>
      </c>
      <c r="G139" s="79" t="str">
        <f>IF($B139="","",IF(Setup!$C$21="","Fund",IF($F139+$H138&lt;=Setup!$C$21,"Fund","Cut")))</f>
        <v/>
      </c>
      <c r="H139" s="78">
        <f>IF($B139="",$H138,$H138+IF($G139="Fund",$F139,0))</f>
        <v>67738</v>
      </c>
    </row>
    <row r="140" ht="15" customHeight="1" s="46">
      <c r="A140" s="78" t="n">
        <v>136</v>
      </c>
      <c r="B140" s="78" t="str">
        <f>IFERROR(MATCH($A140,Plan!$AP$6:$AP$205,0),"")</f>
        <v/>
      </c>
      <c r="C140" s="78" t="str">
        <f>IF($B140="","",INDEX(Plan!$A$6:$A$205,$B140))</f>
        <v/>
      </c>
      <c r="D140" s="78" t="str">
        <f>IF($B140="","",INDEX(Plan!$B$6:$B$205,$B140)&amp;"")</f>
        <v/>
      </c>
      <c r="E140" s="78" t="str">
        <f>IF($B140="","",INDEX(Plan!$AB$6:$AB$205,$B140))</f>
        <v/>
      </c>
      <c r="F140" s="78" t="str">
        <f>IF($B140="","",INDEX(Plan!$AC$6:$AC$205,$B140))</f>
        <v/>
      </c>
      <c r="G140" s="79" t="str">
        <f>IF($B140="","",IF(Setup!$C$21="","Fund",IF($F140+$H139&lt;=Setup!$C$21,"Fund","Cut")))</f>
        <v/>
      </c>
      <c r="H140" s="78">
        <f>IF($B140="",$H139,$H139+IF($G140="Fund",$F140,0))</f>
        <v>67738</v>
      </c>
    </row>
    <row r="141" ht="15" customHeight="1" s="46">
      <c r="A141" s="78" t="n">
        <v>137</v>
      </c>
      <c r="B141" s="78" t="str">
        <f>IFERROR(MATCH($A141,Plan!$AP$6:$AP$205,0),"")</f>
        <v/>
      </c>
      <c r="C141" s="78" t="str">
        <f>IF($B141="","",INDEX(Plan!$A$6:$A$205,$B141))</f>
        <v/>
      </c>
      <c r="D141" s="78" t="str">
        <f>IF($B141="","",INDEX(Plan!$B$6:$B$205,$B141)&amp;"")</f>
        <v/>
      </c>
      <c r="E141" s="78" t="str">
        <f>IF($B141="","",INDEX(Plan!$AB$6:$AB$205,$B141))</f>
        <v/>
      </c>
      <c r="F141" s="78" t="str">
        <f>IF($B141="","",INDEX(Plan!$AC$6:$AC$205,$B141))</f>
        <v/>
      </c>
      <c r="G141" s="79" t="str">
        <f>IF($B141="","",IF(Setup!$C$21="","Fund",IF($F141+$H140&lt;=Setup!$C$21,"Fund","Cut")))</f>
        <v/>
      </c>
      <c r="H141" s="78">
        <f>IF($B141="",$H140,$H140+IF($G141="Fund",$F141,0))</f>
        <v>67738</v>
      </c>
    </row>
    <row r="142" ht="15" customHeight="1" s="46">
      <c r="A142" s="78" t="n">
        <v>138</v>
      </c>
      <c r="B142" s="78" t="str">
        <f>IFERROR(MATCH($A142,Plan!$AP$6:$AP$205,0),"")</f>
        <v/>
      </c>
      <c r="C142" s="78" t="str">
        <f>IF($B142="","",INDEX(Plan!$A$6:$A$205,$B142))</f>
        <v/>
      </c>
      <c r="D142" s="78" t="str">
        <f>IF($B142="","",INDEX(Plan!$B$6:$B$205,$B142)&amp;"")</f>
        <v/>
      </c>
      <c r="E142" s="78" t="str">
        <f>IF($B142="","",INDEX(Plan!$AB$6:$AB$205,$B142))</f>
        <v/>
      </c>
      <c r="F142" s="78" t="str">
        <f>IF($B142="","",INDEX(Plan!$AC$6:$AC$205,$B142))</f>
        <v/>
      </c>
      <c r="G142" s="79" t="str">
        <f>IF($B142="","",IF(Setup!$C$21="","Fund",IF($F142+$H141&lt;=Setup!$C$21,"Fund","Cut")))</f>
        <v/>
      </c>
      <c r="H142" s="78">
        <f>IF($B142="",$H141,$H141+IF($G142="Fund",$F142,0))</f>
        <v>67738</v>
      </c>
    </row>
    <row r="143" ht="15" customHeight="1" s="46">
      <c r="A143" s="78" t="n">
        <v>139</v>
      </c>
      <c r="B143" s="78" t="str">
        <f>IFERROR(MATCH($A143,Plan!$AP$6:$AP$205,0),"")</f>
        <v/>
      </c>
      <c r="C143" s="78" t="str">
        <f>IF($B143="","",INDEX(Plan!$A$6:$A$205,$B143))</f>
        <v/>
      </c>
      <c r="D143" s="78" t="str">
        <f>IF($B143="","",INDEX(Plan!$B$6:$B$205,$B143)&amp;"")</f>
        <v/>
      </c>
      <c r="E143" s="78" t="str">
        <f>IF($B143="","",INDEX(Plan!$AB$6:$AB$205,$B143))</f>
        <v/>
      </c>
      <c r="F143" s="78" t="str">
        <f>IF($B143="","",INDEX(Plan!$AC$6:$AC$205,$B143))</f>
        <v/>
      </c>
      <c r="G143" s="79" t="str">
        <f>IF($B143="","",IF(Setup!$C$21="","Fund",IF($F143+$H142&lt;=Setup!$C$21,"Fund","Cut")))</f>
        <v/>
      </c>
      <c r="H143" s="78">
        <f>IF($B143="",$H142,$H142+IF($G143="Fund",$F143,0))</f>
        <v>67738</v>
      </c>
    </row>
    <row r="144" ht="15" customHeight="1" s="46">
      <c r="A144" s="78" t="n">
        <v>140</v>
      </c>
      <c r="B144" s="78" t="str">
        <f>IFERROR(MATCH($A144,Plan!$AP$6:$AP$205,0),"")</f>
        <v/>
      </c>
      <c r="C144" s="78" t="str">
        <f>IF($B144="","",INDEX(Plan!$A$6:$A$205,$B144))</f>
        <v/>
      </c>
      <c r="D144" s="78" t="str">
        <f>IF($B144="","",INDEX(Plan!$B$6:$B$205,$B144)&amp;"")</f>
        <v/>
      </c>
      <c r="E144" s="78" t="str">
        <f>IF($B144="","",INDEX(Plan!$AB$6:$AB$205,$B144))</f>
        <v/>
      </c>
      <c r="F144" s="78" t="str">
        <f>IF($B144="","",INDEX(Plan!$AC$6:$AC$205,$B144))</f>
        <v/>
      </c>
      <c r="G144" s="79" t="str">
        <f>IF($B144="","",IF(Setup!$C$21="","Fund",IF($F144+$H143&lt;=Setup!$C$21,"Fund","Cut")))</f>
        <v/>
      </c>
      <c r="H144" s="78">
        <f>IF($B144="",$H143,$H143+IF($G144="Fund",$F144,0))</f>
        <v>67738</v>
      </c>
    </row>
    <row r="145" ht="15" customHeight="1" s="46">
      <c r="A145" s="78" t="n">
        <v>141</v>
      </c>
      <c r="B145" s="78" t="str">
        <f>IFERROR(MATCH($A145,Plan!$AP$6:$AP$205,0),"")</f>
        <v/>
      </c>
      <c r="C145" s="78" t="str">
        <f>IF($B145="","",INDEX(Plan!$A$6:$A$205,$B145))</f>
        <v/>
      </c>
      <c r="D145" s="78" t="str">
        <f>IF($B145="","",INDEX(Plan!$B$6:$B$205,$B145)&amp;"")</f>
        <v/>
      </c>
      <c r="E145" s="78" t="str">
        <f>IF($B145="","",INDEX(Plan!$AB$6:$AB$205,$B145))</f>
        <v/>
      </c>
      <c r="F145" s="78" t="str">
        <f>IF($B145="","",INDEX(Plan!$AC$6:$AC$205,$B145))</f>
        <v/>
      </c>
      <c r="G145" s="79" t="str">
        <f>IF($B145="","",IF(Setup!$C$21="","Fund",IF($F145+$H144&lt;=Setup!$C$21,"Fund","Cut")))</f>
        <v/>
      </c>
      <c r="H145" s="78">
        <f>IF($B145="",$H144,$H144+IF($G145="Fund",$F145,0))</f>
        <v>67738</v>
      </c>
    </row>
    <row r="146" ht="15" customHeight="1" s="46">
      <c r="A146" s="78" t="n">
        <v>142</v>
      </c>
      <c r="B146" s="78" t="str">
        <f>IFERROR(MATCH($A146,Plan!$AP$6:$AP$205,0),"")</f>
        <v/>
      </c>
      <c r="C146" s="78" t="str">
        <f>IF($B146="","",INDEX(Plan!$A$6:$A$205,$B146))</f>
        <v/>
      </c>
      <c r="D146" s="78" t="str">
        <f>IF($B146="","",INDEX(Plan!$B$6:$B$205,$B146)&amp;"")</f>
        <v/>
      </c>
      <c r="E146" s="78" t="str">
        <f>IF($B146="","",INDEX(Plan!$AB$6:$AB$205,$B146))</f>
        <v/>
      </c>
      <c r="F146" s="78" t="str">
        <f>IF($B146="","",INDEX(Plan!$AC$6:$AC$205,$B146))</f>
        <v/>
      </c>
      <c r="G146" s="79" t="str">
        <f>IF($B146="","",IF(Setup!$C$21="","Fund",IF($F146+$H145&lt;=Setup!$C$21,"Fund","Cut")))</f>
        <v/>
      </c>
      <c r="H146" s="78">
        <f>IF($B146="",$H145,$H145+IF($G146="Fund",$F146,0))</f>
        <v>67738</v>
      </c>
    </row>
    <row r="147" ht="15" customHeight="1" s="46">
      <c r="A147" s="78" t="n">
        <v>143</v>
      </c>
      <c r="B147" s="78" t="str">
        <f>IFERROR(MATCH($A147,Plan!$AP$6:$AP$205,0),"")</f>
        <v/>
      </c>
      <c r="C147" s="78" t="str">
        <f>IF($B147="","",INDEX(Plan!$A$6:$A$205,$B147))</f>
        <v/>
      </c>
      <c r="D147" s="78" t="str">
        <f>IF($B147="","",INDEX(Plan!$B$6:$B$205,$B147)&amp;"")</f>
        <v/>
      </c>
      <c r="E147" s="78" t="str">
        <f>IF($B147="","",INDEX(Plan!$AB$6:$AB$205,$B147))</f>
        <v/>
      </c>
      <c r="F147" s="78" t="str">
        <f>IF($B147="","",INDEX(Plan!$AC$6:$AC$205,$B147))</f>
        <v/>
      </c>
      <c r="G147" s="79" t="str">
        <f>IF($B147="","",IF(Setup!$C$21="","Fund",IF($F147+$H146&lt;=Setup!$C$21,"Fund","Cut")))</f>
        <v/>
      </c>
      <c r="H147" s="78">
        <f>IF($B147="",$H146,$H146+IF($G147="Fund",$F147,0))</f>
        <v>67738</v>
      </c>
    </row>
    <row r="148" ht="15" customHeight="1" s="46">
      <c r="A148" s="78" t="n">
        <v>144</v>
      </c>
      <c r="B148" s="78" t="str">
        <f>IFERROR(MATCH($A148,Plan!$AP$6:$AP$205,0),"")</f>
        <v/>
      </c>
      <c r="C148" s="78" t="str">
        <f>IF($B148="","",INDEX(Plan!$A$6:$A$205,$B148))</f>
        <v/>
      </c>
      <c r="D148" s="78" t="str">
        <f>IF($B148="","",INDEX(Plan!$B$6:$B$205,$B148)&amp;"")</f>
        <v/>
      </c>
      <c r="E148" s="78" t="str">
        <f>IF($B148="","",INDEX(Plan!$AB$6:$AB$205,$B148))</f>
        <v/>
      </c>
      <c r="F148" s="78" t="str">
        <f>IF($B148="","",INDEX(Plan!$AC$6:$AC$205,$B148))</f>
        <v/>
      </c>
      <c r="G148" s="79" t="str">
        <f>IF($B148="","",IF(Setup!$C$21="","Fund",IF($F148+$H147&lt;=Setup!$C$21,"Fund","Cut")))</f>
        <v/>
      </c>
      <c r="H148" s="78">
        <f>IF($B148="",$H147,$H147+IF($G148="Fund",$F148,0))</f>
        <v>67738</v>
      </c>
    </row>
    <row r="149" ht="15" customHeight="1" s="46">
      <c r="A149" s="78" t="n">
        <v>145</v>
      </c>
      <c r="B149" s="78" t="str">
        <f>IFERROR(MATCH($A149,Plan!$AP$6:$AP$205,0),"")</f>
        <v/>
      </c>
      <c r="C149" s="78" t="str">
        <f>IF($B149="","",INDEX(Plan!$A$6:$A$205,$B149))</f>
        <v/>
      </c>
      <c r="D149" s="78" t="str">
        <f>IF($B149="","",INDEX(Plan!$B$6:$B$205,$B149)&amp;"")</f>
        <v/>
      </c>
      <c r="E149" s="78" t="str">
        <f>IF($B149="","",INDEX(Plan!$AB$6:$AB$205,$B149))</f>
        <v/>
      </c>
      <c r="F149" s="78" t="str">
        <f>IF($B149="","",INDEX(Plan!$AC$6:$AC$205,$B149))</f>
        <v/>
      </c>
      <c r="G149" s="79" t="str">
        <f>IF($B149="","",IF(Setup!$C$21="","Fund",IF($F149+$H148&lt;=Setup!$C$21,"Fund","Cut")))</f>
        <v/>
      </c>
      <c r="H149" s="78">
        <f>IF($B149="",$H148,$H148+IF($G149="Fund",$F149,0))</f>
        <v>67738</v>
      </c>
    </row>
    <row r="150" ht="15" customHeight="1" s="46">
      <c r="A150" s="78" t="n">
        <v>146</v>
      </c>
      <c r="B150" s="78" t="str">
        <f>IFERROR(MATCH($A150,Plan!$AP$6:$AP$205,0),"")</f>
        <v/>
      </c>
      <c r="C150" s="78" t="str">
        <f>IF($B150="","",INDEX(Plan!$A$6:$A$205,$B150))</f>
        <v/>
      </c>
      <c r="D150" s="78" t="str">
        <f>IF($B150="","",INDEX(Plan!$B$6:$B$205,$B150)&amp;"")</f>
        <v/>
      </c>
      <c r="E150" s="78" t="str">
        <f>IF($B150="","",INDEX(Plan!$AB$6:$AB$205,$B150))</f>
        <v/>
      </c>
      <c r="F150" s="78" t="str">
        <f>IF($B150="","",INDEX(Plan!$AC$6:$AC$205,$B150))</f>
        <v/>
      </c>
      <c r="G150" s="79" t="str">
        <f>IF($B150="","",IF(Setup!$C$21="","Fund",IF($F150+$H149&lt;=Setup!$C$21,"Fund","Cut")))</f>
        <v/>
      </c>
      <c r="H150" s="78">
        <f>IF($B150="",$H149,$H149+IF($G150="Fund",$F150,0))</f>
        <v>67738</v>
      </c>
    </row>
    <row r="151" ht="15" customHeight="1" s="46">
      <c r="A151" s="78" t="n">
        <v>147</v>
      </c>
      <c r="B151" s="78" t="str">
        <f>IFERROR(MATCH($A151,Plan!$AP$6:$AP$205,0),"")</f>
        <v/>
      </c>
      <c r="C151" s="78" t="str">
        <f>IF($B151="","",INDEX(Plan!$A$6:$A$205,$B151))</f>
        <v/>
      </c>
      <c r="D151" s="78" t="str">
        <f>IF($B151="","",INDEX(Plan!$B$6:$B$205,$B151)&amp;"")</f>
        <v/>
      </c>
      <c r="E151" s="78" t="str">
        <f>IF($B151="","",INDEX(Plan!$AB$6:$AB$205,$B151))</f>
        <v/>
      </c>
      <c r="F151" s="78" t="str">
        <f>IF($B151="","",INDEX(Plan!$AC$6:$AC$205,$B151))</f>
        <v/>
      </c>
      <c r="G151" s="79" t="str">
        <f>IF($B151="","",IF(Setup!$C$21="","Fund",IF($F151+$H150&lt;=Setup!$C$21,"Fund","Cut")))</f>
        <v/>
      </c>
      <c r="H151" s="78">
        <f>IF($B151="",$H150,$H150+IF($G151="Fund",$F151,0))</f>
        <v>67738</v>
      </c>
    </row>
    <row r="152" ht="15" customHeight="1" s="46">
      <c r="A152" s="78" t="n">
        <v>148</v>
      </c>
      <c r="B152" s="78" t="str">
        <f>IFERROR(MATCH($A152,Plan!$AP$6:$AP$205,0),"")</f>
        <v/>
      </c>
      <c r="C152" s="78" t="str">
        <f>IF($B152="","",INDEX(Plan!$A$6:$A$205,$B152))</f>
        <v/>
      </c>
      <c r="D152" s="78" t="str">
        <f>IF($B152="","",INDEX(Plan!$B$6:$B$205,$B152)&amp;"")</f>
        <v/>
      </c>
      <c r="E152" s="78" t="str">
        <f>IF($B152="","",INDEX(Plan!$AB$6:$AB$205,$B152))</f>
        <v/>
      </c>
      <c r="F152" s="78" t="str">
        <f>IF($B152="","",INDEX(Plan!$AC$6:$AC$205,$B152))</f>
        <v/>
      </c>
      <c r="G152" s="79" t="str">
        <f>IF($B152="","",IF(Setup!$C$21="","Fund",IF($F152+$H151&lt;=Setup!$C$21,"Fund","Cut")))</f>
        <v/>
      </c>
      <c r="H152" s="78">
        <f>IF($B152="",$H151,$H151+IF($G152="Fund",$F152,0))</f>
        <v>67738</v>
      </c>
    </row>
    <row r="153" ht="15" customHeight="1" s="46">
      <c r="A153" s="78" t="n">
        <v>149</v>
      </c>
      <c r="B153" s="78" t="str">
        <f>IFERROR(MATCH($A153,Plan!$AP$6:$AP$205,0),"")</f>
        <v/>
      </c>
      <c r="C153" s="78" t="str">
        <f>IF($B153="","",INDEX(Plan!$A$6:$A$205,$B153))</f>
        <v/>
      </c>
      <c r="D153" s="78" t="str">
        <f>IF($B153="","",INDEX(Plan!$B$6:$B$205,$B153)&amp;"")</f>
        <v/>
      </c>
      <c r="E153" s="78" t="str">
        <f>IF($B153="","",INDEX(Plan!$AB$6:$AB$205,$B153))</f>
        <v/>
      </c>
      <c r="F153" s="78" t="str">
        <f>IF($B153="","",INDEX(Plan!$AC$6:$AC$205,$B153))</f>
        <v/>
      </c>
      <c r="G153" s="79" t="str">
        <f>IF($B153="","",IF(Setup!$C$21="","Fund",IF($F153+$H152&lt;=Setup!$C$21,"Fund","Cut")))</f>
        <v/>
      </c>
      <c r="H153" s="78">
        <f>IF($B153="",$H152,$H152+IF($G153="Fund",$F153,0))</f>
        <v>67738</v>
      </c>
    </row>
    <row r="154" ht="15" customHeight="1" s="46">
      <c r="A154" s="78" t="n">
        <v>150</v>
      </c>
      <c r="B154" s="78" t="str">
        <f>IFERROR(MATCH($A154,Plan!$AP$6:$AP$205,0),"")</f>
        <v/>
      </c>
      <c r="C154" s="78" t="str">
        <f>IF($B154="","",INDEX(Plan!$A$6:$A$205,$B154))</f>
        <v/>
      </c>
      <c r="D154" s="78" t="str">
        <f>IF($B154="","",INDEX(Plan!$B$6:$B$205,$B154)&amp;"")</f>
        <v/>
      </c>
      <c r="E154" s="78" t="str">
        <f>IF($B154="","",INDEX(Plan!$AB$6:$AB$205,$B154))</f>
        <v/>
      </c>
      <c r="F154" s="78" t="str">
        <f>IF($B154="","",INDEX(Plan!$AC$6:$AC$205,$B154))</f>
        <v/>
      </c>
      <c r="G154" s="79" t="str">
        <f>IF($B154="","",IF(Setup!$C$21="","Fund",IF($F154+$H153&lt;=Setup!$C$21,"Fund","Cut")))</f>
        <v/>
      </c>
      <c r="H154" s="78">
        <f>IF($B154="",$H153,$H153+IF($G154="Fund",$F154,0))</f>
        <v>67738</v>
      </c>
    </row>
    <row r="155" ht="15" customHeight="1" s="46">
      <c r="A155" s="78" t="n">
        <v>151</v>
      </c>
      <c r="B155" s="78" t="str">
        <f>IFERROR(MATCH($A155,Plan!$AP$6:$AP$205,0),"")</f>
        <v/>
      </c>
      <c r="C155" s="78" t="str">
        <f>IF($B155="","",INDEX(Plan!$A$6:$A$205,$B155))</f>
        <v/>
      </c>
      <c r="D155" s="78" t="str">
        <f>IF($B155="","",INDEX(Plan!$B$6:$B$205,$B155)&amp;"")</f>
        <v/>
      </c>
      <c r="E155" s="78" t="str">
        <f>IF($B155="","",INDEX(Plan!$AB$6:$AB$205,$B155))</f>
        <v/>
      </c>
      <c r="F155" s="78" t="str">
        <f>IF($B155="","",INDEX(Plan!$AC$6:$AC$205,$B155))</f>
        <v/>
      </c>
      <c r="G155" s="79" t="str">
        <f>IF($B155="","",IF(Setup!$C$21="","Fund",IF($F155+$H154&lt;=Setup!$C$21,"Fund","Cut")))</f>
        <v/>
      </c>
      <c r="H155" s="78">
        <f>IF($B155="",$H154,$H154+IF($G155="Fund",$F155,0))</f>
        <v>67738</v>
      </c>
    </row>
    <row r="156" ht="15" customHeight="1" s="46">
      <c r="A156" s="78" t="n">
        <v>152</v>
      </c>
      <c r="B156" s="78" t="str">
        <f>IFERROR(MATCH($A156,Plan!$AP$6:$AP$205,0),"")</f>
        <v/>
      </c>
      <c r="C156" s="78" t="str">
        <f>IF($B156="","",INDEX(Plan!$A$6:$A$205,$B156))</f>
        <v/>
      </c>
      <c r="D156" s="78" t="str">
        <f>IF($B156="","",INDEX(Plan!$B$6:$B$205,$B156)&amp;"")</f>
        <v/>
      </c>
      <c r="E156" s="78" t="str">
        <f>IF($B156="","",INDEX(Plan!$AB$6:$AB$205,$B156))</f>
        <v/>
      </c>
      <c r="F156" s="78" t="str">
        <f>IF($B156="","",INDEX(Plan!$AC$6:$AC$205,$B156))</f>
        <v/>
      </c>
      <c r="G156" s="79" t="str">
        <f>IF($B156="","",IF(Setup!$C$21="","Fund",IF($F156+$H155&lt;=Setup!$C$21,"Fund","Cut")))</f>
        <v/>
      </c>
      <c r="H156" s="78">
        <f>IF($B156="",$H155,$H155+IF($G156="Fund",$F156,0))</f>
        <v>67738</v>
      </c>
    </row>
    <row r="157" ht="15" customHeight="1" s="46">
      <c r="A157" s="78" t="n">
        <v>153</v>
      </c>
      <c r="B157" s="78" t="str">
        <f>IFERROR(MATCH($A157,Plan!$AP$6:$AP$205,0),"")</f>
        <v/>
      </c>
      <c r="C157" s="78" t="str">
        <f>IF($B157="","",INDEX(Plan!$A$6:$A$205,$B157))</f>
        <v/>
      </c>
      <c r="D157" s="78" t="str">
        <f>IF($B157="","",INDEX(Plan!$B$6:$B$205,$B157)&amp;"")</f>
        <v/>
      </c>
      <c r="E157" s="78" t="str">
        <f>IF($B157="","",INDEX(Plan!$AB$6:$AB$205,$B157))</f>
        <v/>
      </c>
      <c r="F157" s="78" t="str">
        <f>IF($B157="","",INDEX(Plan!$AC$6:$AC$205,$B157))</f>
        <v/>
      </c>
      <c r="G157" s="79" t="str">
        <f>IF($B157="","",IF(Setup!$C$21="","Fund",IF($F157+$H156&lt;=Setup!$C$21,"Fund","Cut")))</f>
        <v/>
      </c>
      <c r="H157" s="78">
        <f>IF($B157="",$H156,$H156+IF($G157="Fund",$F157,0))</f>
        <v>67738</v>
      </c>
    </row>
    <row r="158" ht="15" customHeight="1" s="46">
      <c r="A158" s="78" t="n">
        <v>154</v>
      </c>
      <c r="B158" s="78" t="str">
        <f>IFERROR(MATCH($A158,Plan!$AP$6:$AP$205,0),"")</f>
        <v/>
      </c>
      <c r="C158" s="78" t="str">
        <f>IF($B158="","",INDEX(Plan!$A$6:$A$205,$B158))</f>
        <v/>
      </c>
      <c r="D158" s="78" t="str">
        <f>IF($B158="","",INDEX(Plan!$B$6:$B$205,$B158)&amp;"")</f>
        <v/>
      </c>
      <c r="E158" s="78" t="str">
        <f>IF($B158="","",INDEX(Plan!$AB$6:$AB$205,$B158))</f>
        <v/>
      </c>
      <c r="F158" s="78" t="str">
        <f>IF($B158="","",INDEX(Plan!$AC$6:$AC$205,$B158))</f>
        <v/>
      </c>
      <c r="G158" s="79" t="str">
        <f>IF($B158="","",IF(Setup!$C$21="","Fund",IF($F158+$H157&lt;=Setup!$C$21,"Fund","Cut")))</f>
        <v/>
      </c>
      <c r="H158" s="78">
        <f>IF($B158="",$H157,$H157+IF($G158="Fund",$F158,0))</f>
        <v>67738</v>
      </c>
    </row>
    <row r="159" ht="15" customHeight="1" s="46">
      <c r="A159" s="78" t="n">
        <v>155</v>
      </c>
      <c r="B159" s="78" t="str">
        <f>IFERROR(MATCH($A159,Plan!$AP$6:$AP$205,0),"")</f>
        <v/>
      </c>
      <c r="C159" s="78" t="str">
        <f>IF($B159="","",INDEX(Plan!$A$6:$A$205,$B159))</f>
        <v/>
      </c>
      <c r="D159" s="78" t="str">
        <f>IF($B159="","",INDEX(Plan!$B$6:$B$205,$B159)&amp;"")</f>
        <v/>
      </c>
      <c r="E159" s="78" t="str">
        <f>IF($B159="","",INDEX(Plan!$AB$6:$AB$205,$B159))</f>
        <v/>
      </c>
      <c r="F159" s="78" t="str">
        <f>IF($B159="","",INDEX(Plan!$AC$6:$AC$205,$B159))</f>
        <v/>
      </c>
      <c r="G159" s="79" t="str">
        <f>IF($B159="","",IF(Setup!$C$21="","Fund",IF($F159+$H158&lt;=Setup!$C$21,"Fund","Cut")))</f>
        <v/>
      </c>
      <c r="H159" s="78">
        <f>IF($B159="",$H158,$H158+IF($G159="Fund",$F159,0))</f>
        <v>67738</v>
      </c>
    </row>
    <row r="160" ht="15" customHeight="1" s="46">
      <c r="A160" s="78" t="n">
        <v>156</v>
      </c>
      <c r="B160" s="78" t="str">
        <f>IFERROR(MATCH($A160,Plan!$AP$6:$AP$205,0),"")</f>
        <v/>
      </c>
      <c r="C160" s="78" t="str">
        <f>IF($B160="","",INDEX(Plan!$A$6:$A$205,$B160))</f>
        <v/>
      </c>
      <c r="D160" s="78" t="str">
        <f>IF($B160="","",INDEX(Plan!$B$6:$B$205,$B160)&amp;"")</f>
        <v/>
      </c>
      <c r="E160" s="78" t="str">
        <f>IF($B160="","",INDEX(Plan!$AB$6:$AB$205,$B160))</f>
        <v/>
      </c>
      <c r="F160" s="78" t="str">
        <f>IF($B160="","",INDEX(Plan!$AC$6:$AC$205,$B160))</f>
        <v/>
      </c>
      <c r="G160" s="79" t="str">
        <f>IF($B160="","",IF(Setup!$C$21="","Fund",IF($F160+$H159&lt;=Setup!$C$21,"Fund","Cut")))</f>
        <v/>
      </c>
      <c r="H160" s="78">
        <f>IF($B160="",$H159,$H159+IF($G160="Fund",$F160,0))</f>
        <v>67738</v>
      </c>
    </row>
    <row r="161" ht="15" customHeight="1" s="46">
      <c r="A161" s="78" t="n">
        <v>157</v>
      </c>
      <c r="B161" s="78" t="str">
        <f>IFERROR(MATCH($A161,Plan!$AP$6:$AP$205,0),"")</f>
        <v/>
      </c>
      <c r="C161" s="78" t="str">
        <f>IF($B161="","",INDEX(Plan!$A$6:$A$205,$B161))</f>
        <v/>
      </c>
      <c r="D161" s="78" t="str">
        <f>IF($B161="","",INDEX(Plan!$B$6:$B$205,$B161)&amp;"")</f>
        <v/>
      </c>
      <c r="E161" s="78" t="str">
        <f>IF($B161="","",INDEX(Plan!$AB$6:$AB$205,$B161))</f>
        <v/>
      </c>
      <c r="F161" s="78" t="str">
        <f>IF($B161="","",INDEX(Plan!$AC$6:$AC$205,$B161))</f>
        <v/>
      </c>
      <c r="G161" s="79" t="str">
        <f>IF($B161="","",IF(Setup!$C$21="","Fund",IF($F161+$H160&lt;=Setup!$C$21,"Fund","Cut")))</f>
        <v/>
      </c>
      <c r="H161" s="78">
        <f>IF($B161="",$H160,$H160+IF($G161="Fund",$F161,0))</f>
        <v>67738</v>
      </c>
    </row>
    <row r="162" ht="15" customHeight="1" s="46">
      <c r="A162" s="78" t="n">
        <v>158</v>
      </c>
      <c r="B162" s="78" t="str">
        <f>IFERROR(MATCH($A162,Plan!$AP$6:$AP$205,0),"")</f>
        <v/>
      </c>
      <c r="C162" s="78" t="str">
        <f>IF($B162="","",INDEX(Plan!$A$6:$A$205,$B162))</f>
        <v/>
      </c>
      <c r="D162" s="78" t="str">
        <f>IF($B162="","",INDEX(Plan!$B$6:$B$205,$B162)&amp;"")</f>
        <v/>
      </c>
      <c r="E162" s="78" t="str">
        <f>IF($B162="","",INDEX(Plan!$AB$6:$AB$205,$B162))</f>
        <v/>
      </c>
      <c r="F162" s="78" t="str">
        <f>IF($B162="","",INDEX(Plan!$AC$6:$AC$205,$B162))</f>
        <v/>
      </c>
      <c r="G162" s="79" t="str">
        <f>IF($B162="","",IF(Setup!$C$21="","Fund",IF($F162+$H161&lt;=Setup!$C$21,"Fund","Cut")))</f>
        <v/>
      </c>
      <c r="H162" s="78">
        <f>IF($B162="",$H161,$H161+IF($G162="Fund",$F162,0))</f>
        <v>67738</v>
      </c>
    </row>
    <row r="163" ht="15" customHeight="1" s="46">
      <c r="A163" s="78" t="n">
        <v>159</v>
      </c>
      <c r="B163" s="78" t="str">
        <f>IFERROR(MATCH($A163,Plan!$AP$6:$AP$205,0),"")</f>
        <v/>
      </c>
      <c r="C163" s="78" t="str">
        <f>IF($B163="","",INDEX(Plan!$A$6:$A$205,$B163))</f>
        <v/>
      </c>
      <c r="D163" s="78" t="str">
        <f>IF($B163="","",INDEX(Plan!$B$6:$B$205,$B163)&amp;"")</f>
        <v/>
      </c>
      <c r="E163" s="78" t="str">
        <f>IF($B163="","",INDEX(Plan!$AB$6:$AB$205,$B163))</f>
        <v/>
      </c>
      <c r="F163" s="78" t="str">
        <f>IF($B163="","",INDEX(Plan!$AC$6:$AC$205,$B163))</f>
        <v/>
      </c>
      <c r="G163" s="79" t="str">
        <f>IF($B163="","",IF(Setup!$C$21="","Fund",IF($F163+$H162&lt;=Setup!$C$21,"Fund","Cut")))</f>
        <v/>
      </c>
      <c r="H163" s="78">
        <f>IF($B163="",$H162,$H162+IF($G163="Fund",$F163,0))</f>
        <v>67738</v>
      </c>
    </row>
    <row r="164" ht="15" customHeight="1" s="46">
      <c r="A164" s="78" t="n">
        <v>160</v>
      </c>
      <c r="B164" s="78" t="str">
        <f>IFERROR(MATCH($A164,Plan!$AP$6:$AP$205,0),"")</f>
        <v/>
      </c>
      <c r="C164" s="78" t="str">
        <f>IF($B164="","",INDEX(Plan!$A$6:$A$205,$B164))</f>
        <v/>
      </c>
      <c r="D164" s="78" t="str">
        <f>IF($B164="","",INDEX(Plan!$B$6:$B$205,$B164)&amp;"")</f>
        <v/>
      </c>
      <c r="E164" s="78" t="str">
        <f>IF($B164="","",INDEX(Plan!$AB$6:$AB$205,$B164))</f>
        <v/>
      </c>
      <c r="F164" s="78" t="str">
        <f>IF($B164="","",INDEX(Plan!$AC$6:$AC$205,$B164))</f>
        <v/>
      </c>
      <c r="G164" s="79" t="str">
        <f>IF($B164="","",IF(Setup!$C$21="","Fund",IF($F164+$H163&lt;=Setup!$C$21,"Fund","Cut")))</f>
        <v/>
      </c>
      <c r="H164" s="78">
        <f>IF($B164="",$H163,$H163+IF($G164="Fund",$F164,0))</f>
        <v>67738</v>
      </c>
    </row>
    <row r="165" ht="15" customHeight="1" s="46">
      <c r="A165" s="78" t="n">
        <v>161</v>
      </c>
      <c r="B165" s="78" t="str">
        <f>IFERROR(MATCH($A165,Plan!$AP$6:$AP$205,0),"")</f>
        <v/>
      </c>
      <c r="C165" s="78" t="str">
        <f>IF($B165="","",INDEX(Plan!$A$6:$A$205,$B165))</f>
        <v/>
      </c>
      <c r="D165" s="78" t="str">
        <f>IF($B165="","",INDEX(Plan!$B$6:$B$205,$B165)&amp;"")</f>
        <v/>
      </c>
      <c r="E165" s="78" t="str">
        <f>IF($B165="","",INDEX(Plan!$AB$6:$AB$205,$B165))</f>
        <v/>
      </c>
      <c r="F165" s="78" t="str">
        <f>IF($B165="","",INDEX(Plan!$AC$6:$AC$205,$B165))</f>
        <v/>
      </c>
      <c r="G165" s="79" t="str">
        <f>IF($B165="","",IF(Setup!$C$21="","Fund",IF($F165+$H164&lt;=Setup!$C$21,"Fund","Cut")))</f>
        <v/>
      </c>
      <c r="H165" s="78">
        <f>IF($B165="",$H164,$H164+IF($G165="Fund",$F165,0))</f>
        <v>67738</v>
      </c>
    </row>
    <row r="166" ht="15" customHeight="1" s="46">
      <c r="A166" s="78" t="n">
        <v>162</v>
      </c>
      <c r="B166" s="78" t="str">
        <f>IFERROR(MATCH($A166,Plan!$AP$6:$AP$205,0),"")</f>
        <v/>
      </c>
      <c r="C166" s="78" t="str">
        <f>IF($B166="","",INDEX(Plan!$A$6:$A$205,$B166))</f>
        <v/>
      </c>
      <c r="D166" s="78" t="str">
        <f>IF($B166="","",INDEX(Plan!$B$6:$B$205,$B166)&amp;"")</f>
        <v/>
      </c>
      <c r="E166" s="78" t="str">
        <f>IF($B166="","",INDEX(Plan!$AB$6:$AB$205,$B166))</f>
        <v/>
      </c>
      <c r="F166" s="78" t="str">
        <f>IF($B166="","",INDEX(Plan!$AC$6:$AC$205,$B166))</f>
        <v/>
      </c>
      <c r="G166" s="79" t="str">
        <f>IF($B166="","",IF(Setup!$C$21="","Fund",IF($F166+$H165&lt;=Setup!$C$21,"Fund","Cut")))</f>
        <v/>
      </c>
      <c r="H166" s="78">
        <f>IF($B166="",$H165,$H165+IF($G166="Fund",$F166,0))</f>
        <v>67738</v>
      </c>
    </row>
    <row r="167" ht="15" customHeight="1" s="46">
      <c r="A167" s="78" t="n">
        <v>163</v>
      </c>
      <c r="B167" s="78" t="str">
        <f>IFERROR(MATCH($A167,Plan!$AP$6:$AP$205,0),"")</f>
        <v/>
      </c>
      <c r="C167" s="78" t="str">
        <f>IF($B167="","",INDEX(Plan!$A$6:$A$205,$B167))</f>
        <v/>
      </c>
      <c r="D167" s="78" t="str">
        <f>IF($B167="","",INDEX(Plan!$B$6:$B$205,$B167)&amp;"")</f>
        <v/>
      </c>
      <c r="E167" s="78" t="str">
        <f>IF($B167="","",INDEX(Plan!$AB$6:$AB$205,$B167))</f>
        <v/>
      </c>
      <c r="F167" s="78" t="str">
        <f>IF($B167="","",INDEX(Plan!$AC$6:$AC$205,$B167))</f>
        <v/>
      </c>
      <c r="G167" s="79" t="str">
        <f>IF($B167="","",IF(Setup!$C$21="","Fund",IF($F167+$H166&lt;=Setup!$C$21,"Fund","Cut")))</f>
        <v/>
      </c>
      <c r="H167" s="78">
        <f>IF($B167="",$H166,$H166+IF($G167="Fund",$F167,0))</f>
        <v>67738</v>
      </c>
    </row>
    <row r="168" ht="15" customHeight="1" s="46">
      <c r="A168" s="78" t="n">
        <v>164</v>
      </c>
      <c r="B168" s="78" t="str">
        <f>IFERROR(MATCH($A168,Plan!$AP$6:$AP$205,0),"")</f>
        <v/>
      </c>
      <c r="C168" s="78" t="str">
        <f>IF($B168="","",INDEX(Plan!$A$6:$A$205,$B168))</f>
        <v/>
      </c>
      <c r="D168" s="78" t="str">
        <f>IF($B168="","",INDEX(Plan!$B$6:$B$205,$B168)&amp;"")</f>
        <v/>
      </c>
      <c r="E168" s="78" t="str">
        <f>IF($B168="","",INDEX(Plan!$AB$6:$AB$205,$B168))</f>
        <v/>
      </c>
      <c r="F168" s="78" t="str">
        <f>IF($B168="","",INDEX(Plan!$AC$6:$AC$205,$B168))</f>
        <v/>
      </c>
      <c r="G168" s="79" t="str">
        <f>IF($B168="","",IF(Setup!$C$21="","Fund",IF($F168+$H167&lt;=Setup!$C$21,"Fund","Cut")))</f>
        <v/>
      </c>
      <c r="H168" s="78">
        <f>IF($B168="",$H167,$H167+IF($G168="Fund",$F168,0))</f>
        <v>67738</v>
      </c>
    </row>
    <row r="169" ht="15" customHeight="1" s="46">
      <c r="A169" s="78" t="n">
        <v>165</v>
      </c>
      <c r="B169" s="78" t="str">
        <f>IFERROR(MATCH($A169,Plan!$AP$6:$AP$205,0),"")</f>
        <v/>
      </c>
      <c r="C169" s="78" t="str">
        <f>IF($B169="","",INDEX(Plan!$A$6:$A$205,$B169))</f>
        <v/>
      </c>
      <c r="D169" s="78" t="str">
        <f>IF($B169="","",INDEX(Plan!$B$6:$B$205,$B169)&amp;"")</f>
        <v/>
      </c>
      <c r="E169" s="78" t="str">
        <f>IF($B169="","",INDEX(Plan!$AB$6:$AB$205,$B169))</f>
        <v/>
      </c>
      <c r="F169" s="78" t="str">
        <f>IF($B169="","",INDEX(Plan!$AC$6:$AC$205,$B169))</f>
        <v/>
      </c>
      <c r="G169" s="79" t="str">
        <f>IF($B169="","",IF(Setup!$C$21="","Fund",IF($F169+$H168&lt;=Setup!$C$21,"Fund","Cut")))</f>
        <v/>
      </c>
      <c r="H169" s="78">
        <f>IF($B169="",$H168,$H168+IF($G169="Fund",$F169,0))</f>
        <v>67738</v>
      </c>
    </row>
    <row r="170" ht="15" customHeight="1" s="46">
      <c r="A170" s="78" t="n">
        <v>166</v>
      </c>
      <c r="B170" s="78" t="str">
        <f>IFERROR(MATCH($A170,Plan!$AP$6:$AP$205,0),"")</f>
        <v/>
      </c>
      <c r="C170" s="78" t="str">
        <f>IF($B170="","",INDEX(Plan!$A$6:$A$205,$B170))</f>
        <v/>
      </c>
      <c r="D170" s="78" t="str">
        <f>IF($B170="","",INDEX(Plan!$B$6:$B$205,$B170)&amp;"")</f>
        <v/>
      </c>
      <c r="E170" s="78" t="str">
        <f>IF($B170="","",INDEX(Plan!$AB$6:$AB$205,$B170))</f>
        <v/>
      </c>
      <c r="F170" s="78" t="str">
        <f>IF($B170="","",INDEX(Plan!$AC$6:$AC$205,$B170))</f>
        <v/>
      </c>
      <c r="G170" s="79" t="str">
        <f>IF($B170="","",IF(Setup!$C$21="","Fund",IF($F170+$H169&lt;=Setup!$C$21,"Fund","Cut")))</f>
        <v/>
      </c>
      <c r="H170" s="78">
        <f>IF($B170="",$H169,$H169+IF($G170="Fund",$F170,0))</f>
        <v>67738</v>
      </c>
    </row>
    <row r="171" ht="15" customHeight="1" s="46">
      <c r="A171" s="78" t="n">
        <v>167</v>
      </c>
      <c r="B171" s="78" t="str">
        <f>IFERROR(MATCH($A171,Plan!$AP$6:$AP$205,0),"")</f>
        <v/>
      </c>
      <c r="C171" s="78" t="str">
        <f>IF($B171="","",INDEX(Plan!$A$6:$A$205,$B171))</f>
        <v/>
      </c>
      <c r="D171" s="78" t="str">
        <f>IF($B171="","",INDEX(Plan!$B$6:$B$205,$B171)&amp;"")</f>
        <v/>
      </c>
      <c r="E171" s="78" t="str">
        <f>IF($B171="","",INDEX(Plan!$AB$6:$AB$205,$B171))</f>
        <v/>
      </c>
      <c r="F171" s="78" t="str">
        <f>IF($B171="","",INDEX(Plan!$AC$6:$AC$205,$B171))</f>
        <v/>
      </c>
      <c r="G171" s="79" t="str">
        <f>IF($B171="","",IF(Setup!$C$21="","Fund",IF($F171+$H170&lt;=Setup!$C$21,"Fund","Cut")))</f>
        <v/>
      </c>
      <c r="H171" s="78">
        <f>IF($B171="",$H170,$H170+IF($G171="Fund",$F171,0))</f>
        <v>67738</v>
      </c>
    </row>
    <row r="172" ht="15" customHeight="1" s="46">
      <c r="A172" s="78" t="n">
        <v>168</v>
      </c>
      <c r="B172" s="78" t="str">
        <f>IFERROR(MATCH($A172,Plan!$AP$6:$AP$205,0),"")</f>
        <v/>
      </c>
      <c r="C172" s="78" t="str">
        <f>IF($B172="","",INDEX(Plan!$A$6:$A$205,$B172))</f>
        <v/>
      </c>
      <c r="D172" s="78" t="str">
        <f>IF($B172="","",INDEX(Plan!$B$6:$B$205,$B172)&amp;"")</f>
        <v/>
      </c>
      <c r="E172" s="78" t="str">
        <f>IF($B172="","",INDEX(Plan!$AB$6:$AB$205,$B172))</f>
        <v/>
      </c>
      <c r="F172" s="78" t="str">
        <f>IF($B172="","",INDEX(Plan!$AC$6:$AC$205,$B172))</f>
        <v/>
      </c>
      <c r="G172" s="79" t="str">
        <f>IF($B172="","",IF(Setup!$C$21="","Fund",IF($F172+$H171&lt;=Setup!$C$21,"Fund","Cut")))</f>
        <v/>
      </c>
      <c r="H172" s="78">
        <f>IF($B172="",$H171,$H171+IF($G172="Fund",$F172,0))</f>
        <v>67738</v>
      </c>
    </row>
    <row r="173" ht="15" customHeight="1" s="46">
      <c r="A173" s="78" t="n">
        <v>169</v>
      </c>
      <c r="B173" s="78" t="str">
        <f>IFERROR(MATCH($A173,Plan!$AP$6:$AP$205,0),"")</f>
        <v/>
      </c>
      <c r="C173" s="78" t="str">
        <f>IF($B173="","",INDEX(Plan!$A$6:$A$205,$B173))</f>
        <v/>
      </c>
      <c r="D173" s="78" t="str">
        <f>IF($B173="","",INDEX(Plan!$B$6:$B$205,$B173)&amp;"")</f>
        <v/>
      </c>
      <c r="E173" s="78" t="str">
        <f>IF($B173="","",INDEX(Plan!$AB$6:$AB$205,$B173))</f>
        <v/>
      </c>
      <c r="F173" s="78" t="str">
        <f>IF($B173="","",INDEX(Plan!$AC$6:$AC$205,$B173))</f>
        <v/>
      </c>
      <c r="G173" s="79" t="str">
        <f>IF($B173="","",IF(Setup!$C$21="","Fund",IF($F173+$H172&lt;=Setup!$C$21,"Fund","Cut")))</f>
        <v/>
      </c>
      <c r="H173" s="78">
        <f>IF($B173="",$H172,$H172+IF($G173="Fund",$F173,0))</f>
        <v>67738</v>
      </c>
    </row>
    <row r="174" ht="15" customHeight="1" s="46">
      <c r="A174" s="78" t="n">
        <v>170</v>
      </c>
      <c r="B174" s="78" t="str">
        <f>IFERROR(MATCH($A174,Plan!$AP$6:$AP$205,0),"")</f>
        <v/>
      </c>
      <c r="C174" s="78" t="str">
        <f>IF($B174="","",INDEX(Plan!$A$6:$A$205,$B174))</f>
        <v/>
      </c>
      <c r="D174" s="78" t="str">
        <f>IF($B174="","",INDEX(Plan!$B$6:$B$205,$B174)&amp;"")</f>
        <v/>
      </c>
      <c r="E174" s="78" t="str">
        <f>IF($B174="","",INDEX(Plan!$AB$6:$AB$205,$B174))</f>
        <v/>
      </c>
      <c r="F174" s="78" t="str">
        <f>IF($B174="","",INDEX(Plan!$AC$6:$AC$205,$B174))</f>
        <v/>
      </c>
      <c r="G174" s="79" t="str">
        <f>IF($B174="","",IF(Setup!$C$21="","Fund",IF($F174+$H173&lt;=Setup!$C$21,"Fund","Cut")))</f>
        <v/>
      </c>
      <c r="H174" s="78">
        <f>IF($B174="",$H173,$H173+IF($G174="Fund",$F174,0))</f>
        <v>67738</v>
      </c>
    </row>
    <row r="175" ht="15" customHeight="1" s="46">
      <c r="A175" s="78" t="n">
        <v>171</v>
      </c>
      <c r="B175" s="78" t="str">
        <f>IFERROR(MATCH($A175,Plan!$AP$6:$AP$205,0),"")</f>
        <v/>
      </c>
      <c r="C175" s="78" t="str">
        <f>IF($B175="","",INDEX(Plan!$A$6:$A$205,$B175))</f>
        <v/>
      </c>
      <c r="D175" s="78" t="str">
        <f>IF($B175="","",INDEX(Plan!$B$6:$B$205,$B175)&amp;"")</f>
        <v/>
      </c>
      <c r="E175" s="78" t="str">
        <f>IF($B175="","",INDEX(Plan!$AB$6:$AB$205,$B175))</f>
        <v/>
      </c>
      <c r="F175" s="78" t="str">
        <f>IF($B175="","",INDEX(Plan!$AC$6:$AC$205,$B175))</f>
        <v/>
      </c>
      <c r="G175" s="79" t="str">
        <f>IF($B175="","",IF(Setup!$C$21="","Fund",IF($F175+$H174&lt;=Setup!$C$21,"Fund","Cut")))</f>
        <v/>
      </c>
      <c r="H175" s="78">
        <f>IF($B175="",$H174,$H174+IF($G175="Fund",$F175,0))</f>
        <v>67738</v>
      </c>
    </row>
    <row r="176" ht="15" customHeight="1" s="46">
      <c r="A176" s="78" t="n">
        <v>172</v>
      </c>
      <c r="B176" s="78" t="str">
        <f>IFERROR(MATCH($A176,Plan!$AP$6:$AP$205,0),"")</f>
        <v/>
      </c>
      <c r="C176" s="78" t="str">
        <f>IF($B176="","",INDEX(Plan!$A$6:$A$205,$B176))</f>
        <v/>
      </c>
      <c r="D176" s="78" t="str">
        <f>IF($B176="","",INDEX(Plan!$B$6:$B$205,$B176)&amp;"")</f>
        <v/>
      </c>
      <c r="E176" s="78" t="str">
        <f>IF($B176="","",INDEX(Plan!$AB$6:$AB$205,$B176))</f>
        <v/>
      </c>
      <c r="F176" s="78" t="str">
        <f>IF($B176="","",INDEX(Plan!$AC$6:$AC$205,$B176))</f>
        <v/>
      </c>
      <c r="G176" s="79" t="str">
        <f>IF($B176="","",IF(Setup!$C$21="","Fund",IF($F176+$H175&lt;=Setup!$C$21,"Fund","Cut")))</f>
        <v/>
      </c>
      <c r="H176" s="78">
        <f>IF($B176="",$H175,$H175+IF($G176="Fund",$F176,0))</f>
        <v>67738</v>
      </c>
    </row>
    <row r="177" ht="15" customHeight="1" s="46">
      <c r="A177" s="78" t="n">
        <v>173</v>
      </c>
      <c r="B177" s="78" t="str">
        <f>IFERROR(MATCH($A177,Plan!$AP$6:$AP$205,0),"")</f>
        <v/>
      </c>
      <c r="C177" s="78" t="str">
        <f>IF($B177="","",INDEX(Plan!$A$6:$A$205,$B177))</f>
        <v/>
      </c>
      <c r="D177" s="78" t="str">
        <f>IF($B177="","",INDEX(Plan!$B$6:$B$205,$B177)&amp;"")</f>
        <v/>
      </c>
      <c r="E177" s="78" t="str">
        <f>IF($B177="","",INDEX(Plan!$AB$6:$AB$205,$B177))</f>
        <v/>
      </c>
      <c r="F177" s="78" t="str">
        <f>IF($B177="","",INDEX(Plan!$AC$6:$AC$205,$B177))</f>
        <v/>
      </c>
      <c r="G177" s="79" t="str">
        <f>IF($B177="","",IF(Setup!$C$21="","Fund",IF($F177+$H176&lt;=Setup!$C$21,"Fund","Cut")))</f>
        <v/>
      </c>
      <c r="H177" s="78">
        <f>IF($B177="",$H176,$H176+IF($G177="Fund",$F177,0))</f>
        <v>67738</v>
      </c>
    </row>
    <row r="178" ht="15" customHeight="1" s="46">
      <c r="A178" s="78" t="n">
        <v>174</v>
      </c>
      <c r="B178" s="78" t="str">
        <f>IFERROR(MATCH($A178,Plan!$AP$6:$AP$205,0),"")</f>
        <v/>
      </c>
      <c r="C178" s="78" t="str">
        <f>IF($B178="","",INDEX(Plan!$A$6:$A$205,$B178))</f>
        <v/>
      </c>
      <c r="D178" s="78" t="str">
        <f>IF($B178="","",INDEX(Plan!$B$6:$B$205,$B178)&amp;"")</f>
        <v/>
      </c>
      <c r="E178" s="78" t="str">
        <f>IF($B178="","",INDEX(Plan!$AB$6:$AB$205,$B178))</f>
        <v/>
      </c>
      <c r="F178" s="78" t="str">
        <f>IF($B178="","",INDEX(Plan!$AC$6:$AC$205,$B178))</f>
        <v/>
      </c>
      <c r="G178" s="79" t="str">
        <f>IF($B178="","",IF(Setup!$C$21="","Fund",IF($F178+$H177&lt;=Setup!$C$21,"Fund","Cut")))</f>
        <v/>
      </c>
      <c r="H178" s="78">
        <f>IF($B178="",$H177,$H177+IF($G178="Fund",$F178,0))</f>
        <v>67738</v>
      </c>
    </row>
    <row r="179" ht="15" customHeight="1" s="46">
      <c r="A179" s="78" t="n">
        <v>175</v>
      </c>
      <c r="B179" s="78" t="str">
        <f>IFERROR(MATCH($A179,Plan!$AP$6:$AP$205,0),"")</f>
        <v/>
      </c>
      <c r="C179" s="78" t="str">
        <f>IF($B179="","",INDEX(Plan!$A$6:$A$205,$B179))</f>
        <v/>
      </c>
      <c r="D179" s="78" t="str">
        <f>IF($B179="","",INDEX(Plan!$B$6:$B$205,$B179)&amp;"")</f>
        <v/>
      </c>
      <c r="E179" s="78" t="str">
        <f>IF($B179="","",INDEX(Plan!$AB$6:$AB$205,$B179))</f>
        <v/>
      </c>
      <c r="F179" s="78" t="str">
        <f>IF($B179="","",INDEX(Plan!$AC$6:$AC$205,$B179))</f>
        <v/>
      </c>
      <c r="G179" s="79" t="str">
        <f>IF($B179="","",IF(Setup!$C$21="","Fund",IF($F179+$H178&lt;=Setup!$C$21,"Fund","Cut")))</f>
        <v/>
      </c>
      <c r="H179" s="78">
        <f>IF($B179="",$H178,$H178+IF($G179="Fund",$F179,0))</f>
        <v>67738</v>
      </c>
    </row>
    <row r="180" ht="15" customHeight="1" s="46">
      <c r="A180" s="78" t="n">
        <v>176</v>
      </c>
      <c r="B180" s="78" t="str">
        <f>IFERROR(MATCH($A180,Plan!$AP$6:$AP$205,0),"")</f>
        <v/>
      </c>
      <c r="C180" s="78" t="str">
        <f>IF($B180="","",INDEX(Plan!$A$6:$A$205,$B180))</f>
        <v/>
      </c>
      <c r="D180" s="78" t="str">
        <f>IF($B180="","",INDEX(Plan!$B$6:$B$205,$B180)&amp;"")</f>
        <v/>
      </c>
      <c r="E180" s="78" t="str">
        <f>IF($B180="","",INDEX(Plan!$AB$6:$AB$205,$B180))</f>
        <v/>
      </c>
      <c r="F180" s="78" t="str">
        <f>IF($B180="","",INDEX(Plan!$AC$6:$AC$205,$B180))</f>
        <v/>
      </c>
      <c r="G180" s="79" t="str">
        <f>IF($B180="","",IF(Setup!$C$21="","Fund",IF($F180+$H179&lt;=Setup!$C$21,"Fund","Cut")))</f>
        <v/>
      </c>
      <c r="H180" s="78">
        <f>IF($B180="",$H179,$H179+IF($G180="Fund",$F180,0))</f>
        <v>67738</v>
      </c>
    </row>
    <row r="181" ht="15" customHeight="1" s="46">
      <c r="A181" s="78" t="n">
        <v>177</v>
      </c>
      <c r="B181" s="78" t="str">
        <f>IFERROR(MATCH($A181,Plan!$AP$6:$AP$205,0),"")</f>
        <v/>
      </c>
      <c r="C181" s="78" t="str">
        <f>IF($B181="","",INDEX(Plan!$A$6:$A$205,$B181))</f>
        <v/>
      </c>
      <c r="D181" s="78" t="str">
        <f>IF($B181="","",INDEX(Plan!$B$6:$B$205,$B181)&amp;"")</f>
        <v/>
      </c>
      <c r="E181" s="78" t="str">
        <f>IF($B181="","",INDEX(Plan!$AB$6:$AB$205,$B181))</f>
        <v/>
      </c>
      <c r="F181" s="78" t="str">
        <f>IF($B181="","",INDEX(Plan!$AC$6:$AC$205,$B181))</f>
        <v/>
      </c>
      <c r="G181" s="79" t="str">
        <f>IF($B181="","",IF(Setup!$C$21="","Fund",IF($F181+$H180&lt;=Setup!$C$21,"Fund","Cut")))</f>
        <v/>
      </c>
      <c r="H181" s="78">
        <f>IF($B181="",$H180,$H180+IF($G181="Fund",$F181,0))</f>
        <v>67738</v>
      </c>
    </row>
    <row r="182" ht="15" customHeight="1" s="46">
      <c r="A182" s="78" t="n">
        <v>178</v>
      </c>
      <c r="B182" s="78" t="str">
        <f>IFERROR(MATCH($A182,Plan!$AP$6:$AP$205,0),"")</f>
        <v/>
      </c>
      <c r="C182" s="78" t="str">
        <f>IF($B182="","",INDEX(Plan!$A$6:$A$205,$B182))</f>
        <v/>
      </c>
      <c r="D182" s="78" t="str">
        <f>IF($B182="","",INDEX(Plan!$B$6:$B$205,$B182)&amp;"")</f>
        <v/>
      </c>
      <c r="E182" s="78" t="str">
        <f>IF($B182="","",INDEX(Plan!$AB$6:$AB$205,$B182))</f>
        <v/>
      </c>
      <c r="F182" s="78" t="str">
        <f>IF($B182="","",INDEX(Plan!$AC$6:$AC$205,$B182))</f>
        <v/>
      </c>
      <c r="G182" s="79" t="str">
        <f>IF($B182="","",IF(Setup!$C$21="","Fund",IF($F182+$H181&lt;=Setup!$C$21,"Fund","Cut")))</f>
        <v/>
      </c>
      <c r="H182" s="78">
        <f>IF($B182="",$H181,$H181+IF($G182="Fund",$F182,0))</f>
        <v>67738</v>
      </c>
    </row>
    <row r="183" ht="15" customHeight="1" s="46">
      <c r="A183" s="78" t="n">
        <v>179</v>
      </c>
      <c r="B183" s="78" t="str">
        <f>IFERROR(MATCH($A183,Plan!$AP$6:$AP$205,0),"")</f>
        <v/>
      </c>
      <c r="C183" s="78" t="str">
        <f>IF($B183="","",INDEX(Plan!$A$6:$A$205,$B183))</f>
        <v/>
      </c>
      <c r="D183" s="78" t="str">
        <f>IF($B183="","",INDEX(Plan!$B$6:$B$205,$B183)&amp;"")</f>
        <v/>
      </c>
      <c r="E183" s="78" t="str">
        <f>IF($B183="","",INDEX(Plan!$AB$6:$AB$205,$B183))</f>
        <v/>
      </c>
      <c r="F183" s="78" t="str">
        <f>IF($B183="","",INDEX(Plan!$AC$6:$AC$205,$B183))</f>
        <v/>
      </c>
      <c r="G183" s="79" t="str">
        <f>IF($B183="","",IF(Setup!$C$21="","Fund",IF($F183+$H182&lt;=Setup!$C$21,"Fund","Cut")))</f>
        <v/>
      </c>
      <c r="H183" s="78">
        <f>IF($B183="",$H182,$H182+IF($G183="Fund",$F183,0))</f>
        <v>67738</v>
      </c>
    </row>
    <row r="184" ht="15" customHeight="1" s="46">
      <c r="A184" s="78" t="n">
        <v>180</v>
      </c>
      <c r="B184" s="78" t="str">
        <f>IFERROR(MATCH($A184,Plan!$AP$6:$AP$205,0),"")</f>
        <v/>
      </c>
      <c r="C184" s="78" t="str">
        <f>IF($B184="","",INDEX(Plan!$A$6:$A$205,$B184))</f>
        <v/>
      </c>
      <c r="D184" s="78" t="str">
        <f>IF($B184="","",INDEX(Plan!$B$6:$B$205,$B184)&amp;"")</f>
        <v/>
      </c>
      <c r="E184" s="78" t="str">
        <f>IF($B184="","",INDEX(Plan!$AB$6:$AB$205,$B184))</f>
        <v/>
      </c>
      <c r="F184" s="78" t="str">
        <f>IF($B184="","",INDEX(Plan!$AC$6:$AC$205,$B184))</f>
        <v/>
      </c>
      <c r="G184" s="79" t="str">
        <f>IF($B184="","",IF(Setup!$C$21="","Fund",IF($F184+$H183&lt;=Setup!$C$21,"Fund","Cut")))</f>
        <v/>
      </c>
      <c r="H184" s="78">
        <f>IF($B184="",$H183,$H183+IF($G184="Fund",$F184,0))</f>
        <v>67738</v>
      </c>
    </row>
    <row r="185" ht="15" customHeight="1" s="46">
      <c r="A185" s="78" t="n">
        <v>181</v>
      </c>
      <c r="B185" s="78" t="str">
        <f>IFERROR(MATCH($A185,Plan!$AP$6:$AP$205,0),"")</f>
        <v/>
      </c>
      <c r="C185" s="78" t="str">
        <f>IF($B185="","",INDEX(Plan!$A$6:$A$205,$B185))</f>
        <v/>
      </c>
      <c r="D185" s="78" t="str">
        <f>IF($B185="","",INDEX(Plan!$B$6:$B$205,$B185)&amp;"")</f>
        <v/>
      </c>
      <c r="E185" s="78" t="str">
        <f>IF($B185="","",INDEX(Plan!$AB$6:$AB$205,$B185))</f>
        <v/>
      </c>
      <c r="F185" s="78" t="str">
        <f>IF($B185="","",INDEX(Plan!$AC$6:$AC$205,$B185))</f>
        <v/>
      </c>
      <c r="G185" s="79" t="str">
        <f>IF($B185="","",IF(Setup!$C$21="","Fund",IF($F185+$H184&lt;=Setup!$C$21,"Fund","Cut")))</f>
        <v/>
      </c>
      <c r="H185" s="78">
        <f>IF($B185="",$H184,$H184+IF($G185="Fund",$F185,0))</f>
        <v>67738</v>
      </c>
    </row>
    <row r="186" ht="15" customHeight="1" s="46">
      <c r="A186" s="78" t="n">
        <v>182</v>
      </c>
      <c r="B186" s="78" t="str">
        <f>IFERROR(MATCH($A186,Plan!$AP$6:$AP$205,0),"")</f>
        <v/>
      </c>
      <c r="C186" s="78" t="str">
        <f>IF($B186="","",INDEX(Plan!$A$6:$A$205,$B186))</f>
        <v/>
      </c>
      <c r="D186" s="78" t="str">
        <f>IF($B186="","",INDEX(Plan!$B$6:$B$205,$B186)&amp;"")</f>
        <v/>
      </c>
      <c r="E186" s="78" t="str">
        <f>IF($B186="","",INDEX(Plan!$AB$6:$AB$205,$B186))</f>
        <v/>
      </c>
      <c r="F186" s="78" t="str">
        <f>IF($B186="","",INDEX(Plan!$AC$6:$AC$205,$B186))</f>
        <v/>
      </c>
      <c r="G186" s="79" t="str">
        <f>IF($B186="","",IF(Setup!$C$21="","Fund",IF($F186+$H185&lt;=Setup!$C$21,"Fund","Cut")))</f>
        <v/>
      </c>
      <c r="H186" s="78">
        <f>IF($B186="",$H185,$H185+IF($G186="Fund",$F186,0))</f>
        <v>67738</v>
      </c>
    </row>
    <row r="187" ht="15" customHeight="1" s="46">
      <c r="A187" s="78" t="n">
        <v>183</v>
      </c>
      <c r="B187" s="78" t="str">
        <f>IFERROR(MATCH($A187,Plan!$AP$6:$AP$205,0),"")</f>
        <v/>
      </c>
      <c r="C187" s="78" t="str">
        <f>IF($B187="","",INDEX(Plan!$A$6:$A$205,$B187))</f>
        <v/>
      </c>
      <c r="D187" s="78" t="str">
        <f>IF($B187="","",INDEX(Plan!$B$6:$B$205,$B187)&amp;"")</f>
        <v/>
      </c>
      <c r="E187" s="78" t="str">
        <f>IF($B187="","",INDEX(Plan!$AB$6:$AB$205,$B187))</f>
        <v/>
      </c>
      <c r="F187" s="78" t="str">
        <f>IF($B187="","",INDEX(Plan!$AC$6:$AC$205,$B187))</f>
        <v/>
      </c>
      <c r="G187" s="79" t="str">
        <f>IF($B187="","",IF(Setup!$C$21="","Fund",IF($F187+$H186&lt;=Setup!$C$21,"Fund","Cut")))</f>
        <v/>
      </c>
      <c r="H187" s="78">
        <f>IF($B187="",$H186,$H186+IF($G187="Fund",$F187,0))</f>
        <v>67738</v>
      </c>
    </row>
    <row r="188" ht="15" customHeight="1" s="46">
      <c r="A188" s="78" t="n">
        <v>184</v>
      </c>
      <c r="B188" s="78" t="str">
        <f>IFERROR(MATCH($A188,Plan!$AP$6:$AP$205,0),"")</f>
        <v/>
      </c>
      <c r="C188" s="78" t="str">
        <f>IF($B188="","",INDEX(Plan!$A$6:$A$205,$B188))</f>
        <v/>
      </c>
      <c r="D188" s="78" t="str">
        <f>IF($B188="","",INDEX(Plan!$B$6:$B$205,$B188)&amp;"")</f>
        <v/>
      </c>
      <c r="E188" s="78" t="str">
        <f>IF($B188="","",INDEX(Plan!$AB$6:$AB$205,$B188))</f>
        <v/>
      </c>
      <c r="F188" s="78" t="str">
        <f>IF($B188="","",INDEX(Plan!$AC$6:$AC$205,$B188))</f>
        <v/>
      </c>
      <c r="G188" s="79" t="str">
        <f>IF($B188="","",IF(Setup!$C$21="","Fund",IF($F188+$H187&lt;=Setup!$C$21,"Fund","Cut")))</f>
        <v/>
      </c>
      <c r="H188" s="78">
        <f>IF($B188="",$H187,$H187+IF($G188="Fund",$F188,0))</f>
        <v>67738</v>
      </c>
    </row>
    <row r="189" ht="15" customHeight="1" s="46">
      <c r="A189" s="78" t="n">
        <v>185</v>
      </c>
      <c r="B189" s="78" t="str">
        <f>IFERROR(MATCH($A189,Plan!$AP$6:$AP$205,0),"")</f>
        <v/>
      </c>
      <c r="C189" s="78" t="str">
        <f>IF($B189="","",INDEX(Plan!$A$6:$A$205,$B189))</f>
        <v/>
      </c>
      <c r="D189" s="78" t="str">
        <f>IF($B189="","",INDEX(Plan!$B$6:$B$205,$B189)&amp;"")</f>
        <v/>
      </c>
      <c r="E189" s="78" t="str">
        <f>IF($B189="","",INDEX(Plan!$AB$6:$AB$205,$B189))</f>
        <v/>
      </c>
      <c r="F189" s="78" t="str">
        <f>IF($B189="","",INDEX(Plan!$AC$6:$AC$205,$B189))</f>
        <v/>
      </c>
      <c r="G189" s="79" t="str">
        <f>IF($B189="","",IF(Setup!$C$21="","Fund",IF($F189+$H188&lt;=Setup!$C$21,"Fund","Cut")))</f>
        <v/>
      </c>
      <c r="H189" s="78">
        <f>IF($B189="",$H188,$H188+IF($G189="Fund",$F189,0))</f>
        <v>67738</v>
      </c>
    </row>
    <row r="190" ht="15" customHeight="1" s="46">
      <c r="A190" s="78" t="n">
        <v>186</v>
      </c>
      <c r="B190" s="78" t="str">
        <f>IFERROR(MATCH($A190,Plan!$AP$6:$AP$205,0),"")</f>
        <v/>
      </c>
      <c r="C190" s="78" t="str">
        <f>IF($B190="","",INDEX(Plan!$A$6:$A$205,$B190))</f>
        <v/>
      </c>
      <c r="D190" s="78" t="str">
        <f>IF($B190="","",INDEX(Plan!$B$6:$B$205,$B190)&amp;"")</f>
        <v/>
      </c>
      <c r="E190" s="78" t="str">
        <f>IF($B190="","",INDEX(Plan!$AB$6:$AB$205,$B190))</f>
        <v/>
      </c>
      <c r="F190" s="78" t="str">
        <f>IF($B190="","",INDEX(Plan!$AC$6:$AC$205,$B190))</f>
        <v/>
      </c>
      <c r="G190" s="79" t="str">
        <f>IF($B190="","",IF(Setup!$C$21="","Fund",IF($F190+$H189&lt;=Setup!$C$21,"Fund","Cut")))</f>
        <v/>
      </c>
      <c r="H190" s="78">
        <f>IF($B190="",$H189,$H189+IF($G190="Fund",$F190,0))</f>
        <v>67738</v>
      </c>
    </row>
    <row r="191" ht="15" customHeight="1" s="46">
      <c r="A191" s="78" t="n">
        <v>187</v>
      </c>
      <c r="B191" s="78" t="str">
        <f>IFERROR(MATCH($A191,Plan!$AP$6:$AP$205,0),"")</f>
        <v/>
      </c>
      <c r="C191" s="78" t="str">
        <f>IF($B191="","",INDEX(Plan!$A$6:$A$205,$B191))</f>
        <v/>
      </c>
      <c r="D191" s="78" t="str">
        <f>IF($B191="","",INDEX(Plan!$B$6:$B$205,$B191)&amp;"")</f>
        <v/>
      </c>
      <c r="E191" s="78" t="str">
        <f>IF($B191="","",INDEX(Plan!$AB$6:$AB$205,$B191))</f>
        <v/>
      </c>
      <c r="F191" s="78" t="str">
        <f>IF($B191="","",INDEX(Plan!$AC$6:$AC$205,$B191))</f>
        <v/>
      </c>
      <c r="G191" s="79" t="str">
        <f>IF($B191="","",IF(Setup!$C$21="","Fund",IF($F191+$H190&lt;=Setup!$C$21,"Fund","Cut")))</f>
        <v/>
      </c>
      <c r="H191" s="78">
        <f>IF($B191="",$H190,$H190+IF($G191="Fund",$F191,0))</f>
        <v>67738</v>
      </c>
    </row>
    <row r="192" ht="15" customHeight="1" s="46">
      <c r="A192" s="78" t="n">
        <v>188</v>
      </c>
      <c r="B192" s="78" t="str">
        <f>IFERROR(MATCH($A192,Plan!$AP$6:$AP$205,0),"")</f>
        <v/>
      </c>
      <c r="C192" s="78" t="str">
        <f>IF($B192="","",INDEX(Plan!$A$6:$A$205,$B192))</f>
        <v/>
      </c>
      <c r="D192" s="78" t="str">
        <f>IF($B192="","",INDEX(Plan!$B$6:$B$205,$B192)&amp;"")</f>
        <v/>
      </c>
      <c r="E192" s="78" t="str">
        <f>IF($B192="","",INDEX(Plan!$AB$6:$AB$205,$B192))</f>
        <v/>
      </c>
      <c r="F192" s="78" t="str">
        <f>IF($B192="","",INDEX(Plan!$AC$6:$AC$205,$B192))</f>
        <v/>
      </c>
      <c r="G192" s="79" t="str">
        <f>IF($B192="","",IF(Setup!$C$21="","Fund",IF($F192+$H191&lt;=Setup!$C$21,"Fund","Cut")))</f>
        <v/>
      </c>
      <c r="H192" s="78">
        <f>IF($B192="",$H191,$H191+IF($G192="Fund",$F192,0))</f>
        <v>67738</v>
      </c>
    </row>
    <row r="193" ht="15" customHeight="1" s="46">
      <c r="A193" s="78" t="n">
        <v>189</v>
      </c>
      <c r="B193" s="78" t="str">
        <f>IFERROR(MATCH($A193,Plan!$AP$6:$AP$205,0),"")</f>
        <v/>
      </c>
      <c r="C193" s="78" t="str">
        <f>IF($B193="","",INDEX(Plan!$A$6:$A$205,$B193))</f>
        <v/>
      </c>
      <c r="D193" s="78" t="str">
        <f>IF($B193="","",INDEX(Plan!$B$6:$B$205,$B193)&amp;"")</f>
        <v/>
      </c>
      <c r="E193" s="78" t="str">
        <f>IF($B193="","",INDEX(Plan!$AB$6:$AB$205,$B193))</f>
        <v/>
      </c>
      <c r="F193" s="78" t="str">
        <f>IF($B193="","",INDEX(Plan!$AC$6:$AC$205,$B193))</f>
        <v/>
      </c>
      <c r="G193" s="79" t="str">
        <f>IF($B193="","",IF(Setup!$C$21="","Fund",IF($F193+$H192&lt;=Setup!$C$21,"Fund","Cut")))</f>
        <v/>
      </c>
      <c r="H193" s="78">
        <f>IF($B193="",$H192,$H192+IF($G193="Fund",$F193,0))</f>
        <v>67738</v>
      </c>
    </row>
    <row r="194" ht="15" customHeight="1" s="46">
      <c r="A194" s="78" t="n">
        <v>190</v>
      </c>
      <c r="B194" s="78" t="str">
        <f>IFERROR(MATCH($A194,Plan!$AP$6:$AP$205,0),"")</f>
        <v/>
      </c>
      <c r="C194" s="78" t="str">
        <f>IF($B194="","",INDEX(Plan!$A$6:$A$205,$B194))</f>
        <v/>
      </c>
      <c r="D194" s="78" t="str">
        <f>IF($B194="","",INDEX(Plan!$B$6:$B$205,$B194)&amp;"")</f>
        <v/>
      </c>
      <c r="E194" s="78" t="str">
        <f>IF($B194="","",INDEX(Plan!$AB$6:$AB$205,$B194))</f>
        <v/>
      </c>
      <c r="F194" s="78" t="str">
        <f>IF($B194="","",INDEX(Plan!$AC$6:$AC$205,$B194))</f>
        <v/>
      </c>
      <c r="G194" s="79" t="str">
        <f>IF($B194="","",IF(Setup!$C$21="","Fund",IF($F194+$H193&lt;=Setup!$C$21,"Fund","Cut")))</f>
        <v/>
      </c>
      <c r="H194" s="78">
        <f>IF($B194="",$H193,$H193+IF($G194="Fund",$F194,0))</f>
        <v>67738</v>
      </c>
    </row>
    <row r="195" ht="15" customHeight="1" s="46">
      <c r="A195" s="78" t="n">
        <v>191</v>
      </c>
      <c r="B195" s="78" t="str">
        <f>IFERROR(MATCH($A195,Plan!$AP$6:$AP$205,0),"")</f>
        <v/>
      </c>
      <c r="C195" s="78" t="str">
        <f>IF($B195="","",INDEX(Plan!$A$6:$A$205,$B195))</f>
        <v/>
      </c>
      <c r="D195" s="78" t="str">
        <f>IF($B195="","",INDEX(Plan!$B$6:$B$205,$B195)&amp;"")</f>
        <v/>
      </c>
      <c r="E195" s="78" t="str">
        <f>IF($B195="","",INDEX(Plan!$AB$6:$AB$205,$B195))</f>
        <v/>
      </c>
      <c r="F195" s="78" t="str">
        <f>IF($B195="","",INDEX(Plan!$AC$6:$AC$205,$B195))</f>
        <v/>
      </c>
      <c r="G195" s="79" t="str">
        <f>IF($B195="","",IF(Setup!$C$21="","Fund",IF($F195+$H194&lt;=Setup!$C$21,"Fund","Cut")))</f>
        <v/>
      </c>
      <c r="H195" s="78">
        <f>IF($B195="",$H194,$H194+IF($G195="Fund",$F195,0))</f>
        <v>67738</v>
      </c>
    </row>
    <row r="196" ht="15" customHeight="1" s="46">
      <c r="A196" s="78" t="n">
        <v>192</v>
      </c>
      <c r="B196" s="78" t="str">
        <f>IFERROR(MATCH($A196,Plan!$AP$6:$AP$205,0),"")</f>
        <v/>
      </c>
      <c r="C196" s="78" t="str">
        <f>IF($B196="","",INDEX(Plan!$A$6:$A$205,$B196))</f>
        <v/>
      </c>
      <c r="D196" s="78" t="str">
        <f>IF($B196="","",INDEX(Plan!$B$6:$B$205,$B196)&amp;"")</f>
        <v/>
      </c>
      <c r="E196" s="78" t="str">
        <f>IF($B196="","",INDEX(Plan!$AB$6:$AB$205,$B196))</f>
        <v/>
      </c>
      <c r="F196" s="78" t="str">
        <f>IF($B196="","",INDEX(Plan!$AC$6:$AC$205,$B196))</f>
        <v/>
      </c>
      <c r="G196" s="79" t="str">
        <f>IF($B196="","",IF(Setup!$C$21="","Fund",IF($F196+$H195&lt;=Setup!$C$21,"Fund","Cut")))</f>
        <v/>
      </c>
      <c r="H196" s="78">
        <f>IF($B196="",$H195,$H195+IF($G196="Fund",$F196,0))</f>
        <v>67738</v>
      </c>
    </row>
    <row r="197" ht="15" customHeight="1" s="46">
      <c r="A197" s="78" t="n">
        <v>193</v>
      </c>
      <c r="B197" s="78" t="str">
        <f>IFERROR(MATCH($A197,Plan!$AP$6:$AP$205,0),"")</f>
        <v/>
      </c>
      <c r="C197" s="78" t="str">
        <f>IF($B197="","",INDEX(Plan!$A$6:$A$205,$B197))</f>
        <v/>
      </c>
      <c r="D197" s="78" t="str">
        <f>IF($B197="","",INDEX(Plan!$B$6:$B$205,$B197)&amp;"")</f>
        <v/>
      </c>
      <c r="E197" s="78" t="str">
        <f>IF($B197="","",INDEX(Plan!$AB$6:$AB$205,$B197))</f>
        <v/>
      </c>
      <c r="F197" s="78" t="str">
        <f>IF($B197="","",INDEX(Plan!$AC$6:$AC$205,$B197))</f>
        <v/>
      </c>
      <c r="G197" s="79" t="str">
        <f>IF($B197="","",IF(Setup!$C$21="","Fund",IF($F197+$H196&lt;=Setup!$C$21,"Fund","Cut")))</f>
        <v/>
      </c>
      <c r="H197" s="78">
        <f>IF($B197="",$H196,$H196+IF($G197="Fund",$F197,0))</f>
        <v>67738</v>
      </c>
    </row>
    <row r="198" ht="15" customHeight="1" s="46">
      <c r="A198" s="78" t="n">
        <v>194</v>
      </c>
      <c r="B198" s="78" t="str">
        <f>IFERROR(MATCH($A198,Plan!$AP$6:$AP$205,0),"")</f>
        <v/>
      </c>
      <c r="C198" s="78" t="str">
        <f>IF($B198="","",INDEX(Plan!$A$6:$A$205,$B198))</f>
        <v/>
      </c>
      <c r="D198" s="78" t="str">
        <f>IF($B198="","",INDEX(Plan!$B$6:$B$205,$B198)&amp;"")</f>
        <v/>
      </c>
      <c r="E198" s="78" t="str">
        <f>IF($B198="","",INDEX(Plan!$AB$6:$AB$205,$B198))</f>
        <v/>
      </c>
      <c r="F198" s="78" t="str">
        <f>IF($B198="","",INDEX(Plan!$AC$6:$AC$205,$B198))</f>
        <v/>
      </c>
      <c r="G198" s="79" t="str">
        <f>IF($B198="","",IF(Setup!$C$21="","Fund",IF($F198+$H197&lt;=Setup!$C$21,"Fund","Cut")))</f>
        <v/>
      </c>
      <c r="H198" s="78">
        <f>IF($B198="",$H197,$H197+IF($G198="Fund",$F198,0))</f>
        <v>67738</v>
      </c>
    </row>
    <row r="199" ht="15" customHeight="1" s="46">
      <c r="A199" s="78" t="n">
        <v>195</v>
      </c>
      <c r="B199" s="78" t="str">
        <f>IFERROR(MATCH($A199,Plan!$AP$6:$AP$205,0),"")</f>
        <v/>
      </c>
      <c r="C199" s="78" t="str">
        <f>IF($B199="","",INDEX(Plan!$A$6:$A$205,$B199))</f>
        <v/>
      </c>
      <c r="D199" s="78" t="str">
        <f>IF($B199="","",INDEX(Plan!$B$6:$B$205,$B199)&amp;"")</f>
        <v/>
      </c>
      <c r="E199" s="78" t="str">
        <f>IF($B199="","",INDEX(Plan!$AB$6:$AB$205,$B199))</f>
        <v/>
      </c>
      <c r="F199" s="78" t="str">
        <f>IF($B199="","",INDEX(Plan!$AC$6:$AC$205,$B199))</f>
        <v/>
      </c>
      <c r="G199" s="79" t="str">
        <f>IF($B199="","",IF(Setup!$C$21="","Fund",IF($F199+$H198&lt;=Setup!$C$21,"Fund","Cut")))</f>
        <v/>
      </c>
      <c r="H199" s="78">
        <f>IF($B199="",$H198,$H198+IF($G199="Fund",$F199,0))</f>
        <v>67738</v>
      </c>
    </row>
    <row r="200" ht="15" customHeight="1" s="46">
      <c r="A200" s="78" t="n">
        <v>196</v>
      </c>
      <c r="B200" s="78" t="str">
        <f>IFERROR(MATCH($A200,Plan!$AP$6:$AP$205,0),"")</f>
        <v/>
      </c>
      <c r="C200" s="78" t="str">
        <f>IF($B200="","",INDEX(Plan!$A$6:$A$205,$B200))</f>
        <v/>
      </c>
      <c r="D200" s="78" t="str">
        <f>IF($B200="","",INDEX(Plan!$B$6:$B$205,$B200)&amp;"")</f>
        <v/>
      </c>
      <c r="E200" s="78" t="str">
        <f>IF($B200="","",INDEX(Plan!$AB$6:$AB$205,$B200))</f>
        <v/>
      </c>
      <c r="F200" s="78" t="str">
        <f>IF($B200="","",INDEX(Plan!$AC$6:$AC$205,$B200))</f>
        <v/>
      </c>
      <c r="G200" s="79" t="str">
        <f>IF($B200="","",IF(Setup!$C$21="","Fund",IF($F200+$H199&lt;=Setup!$C$21,"Fund","Cut")))</f>
        <v/>
      </c>
      <c r="H200" s="78">
        <f>IF($B200="",$H199,$H199+IF($G200="Fund",$F200,0))</f>
        <v>67738</v>
      </c>
    </row>
    <row r="201" ht="15" customHeight="1" s="46">
      <c r="A201" s="78" t="n">
        <v>197</v>
      </c>
      <c r="B201" s="78" t="str">
        <f>IFERROR(MATCH($A201,Plan!$AP$6:$AP$205,0),"")</f>
        <v/>
      </c>
      <c r="C201" s="78" t="str">
        <f>IF($B201="","",INDEX(Plan!$A$6:$A$205,$B201))</f>
        <v/>
      </c>
      <c r="D201" s="78" t="str">
        <f>IF($B201="","",INDEX(Plan!$B$6:$B$205,$B201)&amp;"")</f>
        <v/>
      </c>
      <c r="E201" s="78" t="str">
        <f>IF($B201="","",INDEX(Plan!$AB$6:$AB$205,$B201))</f>
        <v/>
      </c>
      <c r="F201" s="78" t="str">
        <f>IF($B201="","",INDEX(Plan!$AC$6:$AC$205,$B201))</f>
        <v/>
      </c>
      <c r="G201" s="79" t="str">
        <f>IF($B201="","",IF(Setup!$C$21="","Fund",IF($F201+$H200&lt;=Setup!$C$21,"Fund","Cut")))</f>
        <v/>
      </c>
      <c r="H201" s="78">
        <f>IF($B201="",$H200,$H200+IF($G201="Fund",$F201,0))</f>
        <v>67738</v>
      </c>
    </row>
    <row r="202" ht="15" customHeight="1" s="46">
      <c r="A202" s="78" t="n">
        <v>198</v>
      </c>
      <c r="B202" s="78" t="str">
        <f>IFERROR(MATCH($A202,Plan!$AP$6:$AP$205,0),"")</f>
        <v/>
      </c>
      <c r="C202" s="78" t="str">
        <f>IF($B202="","",INDEX(Plan!$A$6:$A$205,$B202))</f>
        <v/>
      </c>
      <c r="D202" s="78" t="str">
        <f>IF($B202="","",INDEX(Plan!$B$6:$B$205,$B202)&amp;"")</f>
        <v/>
      </c>
      <c r="E202" s="78" t="str">
        <f>IF($B202="","",INDEX(Plan!$AB$6:$AB$205,$B202))</f>
        <v/>
      </c>
      <c r="F202" s="78" t="str">
        <f>IF($B202="","",INDEX(Plan!$AC$6:$AC$205,$B202))</f>
        <v/>
      </c>
      <c r="G202" s="79" t="str">
        <f>IF($B202="","",IF(Setup!$C$21="","Fund",IF($F202+$H201&lt;=Setup!$C$21,"Fund","Cut")))</f>
        <v/>
      </c>
      <c r="H202" s="78">
        <f>IF($B202="",$H201,$H201+IF($G202="Fund",$F202,0))</f>
        <v>67738</v>
      </c>
    </row>
    <row r="203" ht="15" customHeight="1" s="46">
      <c r="A203" s="78" t="n">
        <v>199</v>
      </c>
      <c r="B203" s="78" t="str">
        <f>IFERROR(MATCH($A203,Plan!$AP$6:$AP$205,0),"")</f>
        <v/>
      </c>
      <c r="C203" s="78" t="str">
        <f>IF($B203="","",INDEX(Plan!$A$6:$A$205,$B203))</f>
        <v/>
      </c>
      <c r="D203" s="78" t="str">
        <f>IF($B203="","",INDEX(Plan!$B$6:$B$205,$B203)&amp;"")</f>
        <v/>
      </c>
      <c r="E203" s="78" t="str">
        <f>IF($B203="","",INDEX(Plan!$AB$6:$AB$205,$B203))</f>
        <v/>
      </c>
      <c r="F203" s="78" t="str">
        <f>IF($B203="","",INDEX(Plan!$AC$6:$AC$205,$B203))</f>
        <v/>
      </c>
      <c r="G203" s="79" t="str">
        <f>IF($B203="","",IF(Setup!$C$21="","Fund",IF($F203+$H202&lt;=Setup!$C$21,"Fund","Cut")))</f>
        <v/>
      </c>
      <c r="H203" s="78">
        <f>IF($B203="",$H202,$H202+IF($G203="Fund",$F203,0))</f>
        <v>67738</v>
      </c>
    </row>
    <row r="204" ht="15" customHeight="1" s="46">
      <c r="A204" s="78" t="n">
        <v>200</v>
      </c>
      <c r="B204" s="78" t="str">
        <f>IFERROR(MATCH($A204,Plan!$AP$6:$AP$205,0),"")</f>
        <v/>
      </c>
      <c r="C204" s="78" t="str">
        <f>IF($B204="","",INDEX(Plan!$A$6:$A$205,$B204))</f>
        <v/>
      </c>
      <c r="D204" s="78" t="str">
        <f>IF($B204="","",INDEX(Plan!$B$6:$B$205,$B204)&amp;"")</f>
        <v/>
      </c>
      <c r="E204" s="78" t="str">
        <f>IF($B204="","",INDEX(Plan!$AB$6:$AB$205,$B204))</f>
        <v/>
      </c>
      <c r="F204" s="78" t="str">
        <f>IF($B204="","",INDEX(Plan!$AC$6:$AC$205,$B204))</f>
        <v/>
      </c>
      <c r="G204" s="79" t="str">
        <f>IF($B204="","",IF(Setup!$C$21="","Fund",IF($F204+$H203&lt;=Setup!$C$21,"Fund","Cut")))</f>
        <v/>
      </c>
      <c r="H204" s="78">
        <f>IF($B204="",$H203,$H203+IF($G204="Fund",$F204,0))</f>
        <v>67738</v>
      </c>
    </row>
  </sheetData>
  <sheetProtection selectLockedCells="0" selectUnlockedCells="0" sheet="1" objects="0" insertRows="1" insertHyperlinks="1" autoFilter="1" scenarios="0" formatColumns="0" deleteColumns="1" insertColumns="1" pivotTables="1" deleteRows="1" formatCells="0" formatRows="0" sort="1"/>
  <conditionalFormatting sqref="G5:G204">
    <cfRule type="expression" rank="0" priority="2" equalAverage="0" aboveAverage="0" dxfId="0" text="" percent="0" bottom="0">
      <formula>$G5="Cut"</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AT205"/>
  <sheetViews>
    <sheetView showFormulas="0" showGridLines="0" showRowColHeaders="1" showZeros="1" rightToLeft="0" tabSelected="0" showOutlineSymbols="1" defaultGridColor="1"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baseColWidth="8" defaultColWidth="8.6796875" defaultRowHeight="15" zeroHeight="0" outlineLevelRow="0"/>
  <cols>
    <col width="16" customWidth="1" style="45" min="1" max="1"/>
    <col width="26" customWidth="1" style="45" min="2" max="2"/>
    <col width="16" customWidth="1" style="45" min="3" max="3"/>
    <col width="10" customWidth="1" style="45" min="4" max="5"/>
    <col width="11" customWidth="1" style="45" min="6" max="6"/>
    <col width="13" customWidth="1" style="45" min="7" max="8"/>
    <col width="10" customWidth="1" style="45" min="9" max="9"/>
    <col width="9" customWidth="1" style="45" min="10" max="10"/>
    <col width="10" customWidth="1" style="45" min="11" max="12"/>
    <col width="13" customWidth="1" style="45" min="13" max="13"/>
    <col width="11" customWidth="1" style="45" min="14" max="14"/>
    <col width="13" customWidth="1" style="45" min="15" max="15"/>
    <col width="9" customWidth="1" style="45" min="16" max="17"/>
    <col width="24" customWidth="1" style="45" min="18" max="18"/>
    <col width="13" customWidth="1" style="45" min="19" max="19"/>
    <col width="10" customWidth="1" style="45" min="20" max="23"/>
    <col width="13" customWidth="1" style="45" min="24" max="24"/>
    <col width="10" customWidth="1" style="45" min="25" max="25"/>
    <col width="14" customWidth="1" style="45" min="26" max="26"/>
    <col width="10" customWidth="1" style="45" min="27" max="27"/>
    <col width="11" customWidth="1" style="45" min="28" max="28"/>
    <col width="12" customWidth="1" style="45" min="29" max="29"/>
    <col width="13" customWidth="1" style="45" min="30" max="31"/>
    <col width="40" customWidth="1" style="45" min="32" max="32"/>
    <col width="13" customWidth="1" style="45" min="33" max="34"/>
    <col width="36" customWidth="1" style="45" min="35" max="35"/>
    <col width="15" customWidth="1" style="45" min="36" max="36"/>
    <col width="10" customWidth="1" style="45" min="37" max="37"/>
    <col width="32" customWidth="1" style="45" min="38" max="38"/>
    <col width="10" customWidth="1" style="45" min="39" max="41"/>
    <col width="9" customWidth="1" style="45" min="42" max="42"/>
    <col width="11" customWidth="1" style="45" min="43" max="43"/>
    <col hidden="1" width="12" customWidth="1" style="45" min="44" max="44"/>
    <col hidden="1" width="12" customWidth="1" style="46" min="45" max="45"/>
    <col width="14" customWidth="1" style="46" min="46" max="46"/>
  </cols>
  <sheetData>
    <row r="1" ht="19.7" customHeight="1" s="46">
      <c r="A1" s="47" t="inlineStr">
        <is>
          <t>Plan</t>
        </is>
      </c>
    </row>
    <row r="2" ht="15" customHeight="1" s="46">
      <c r="A2" s="48" t="inlineStr">
        <is>
          <t>One row per SKU. Fill the yellow columns A to Q. Rows 6 to 8 are examples: overwrite or clear them. Nothing calculates until Input check says OK.</t>
        </is>
      </c>
    </row>
    <row r="4" ht="15" customHeight="1" s="46">
      <c r="A4" s="80" t="inlineStr">
        <is>
          <t>You fill in</t>
        </is>
      </c>
      <c r="R4" s="80" t="inlineStr">
        <is>
          <t>Check</t>
        </is>
      </c>
      <c r="S4" s="80" t="inlineStr">
        <is>
          <t>Forecast</t>
        </is>
      </c>
      <c r="X4" s="80" t="inlineStr">
        <is>
          <t>Order</t>
        </is>
      </c>
      <c r="AD4" s="80" t="inlineStr">
        <is>
          <t>Freight</t>
        </is>
      </c>
      <c r="AH4" s="80" t="inlineStr">
        <is>
          <t>Stock cover</t>
        </is>
      </c>
      <c r="AJ4" s="80" t="inlineStr">
        <is>
          <t>Split shipment</t>
        </is>
      </c>
      <c r="AM4" s="80" t="inlineStr">
        <is>
          <t>Budget</t>
        </is>
      </c>
      <c r="AT4" s="81" t="inlineStr">
        <is>
          <t>Fastest route</t>
        </is>
      </c>
    </row>
    <row r="5" ht="66" customHeight="1" s="46">
      <c r="A5" s="82" t="inlineStr">
        <is>
          <t>SKU</t>
        </is>
      </c>
      <c r="B5" s="82" t="inlineStr">
        <is>
          <t>Product</t>
        </is>
      </c>
      <c r="C5" s="82" t="inlineStr">
        <is>
          <t>Type</t>
        </is>
      </c>
      <c r="D5" s="82" t="inlineStr">
        <is>
          <t>Unit cost</t>
        </is>
      </c>
      <c r="E5" s="82" t="inlineStr">
        <is>
          <t>Unit price</t>
        </is>
      </c>
      <c r="F5" s="82" t="inlineStr">
        <is>
          <t>Normal daily sales</t>
        </is>
      </c>
      <c r="G5" s="82" t="inlineStr">
        <is>
          <t>Last year BFCM units (4 days)</t>
        </is>
      </c>
      <c r="H5" s="82" t="inlineStr">
        <is>
          <t>Days in stock last BFCM (0 to 4)</t>
        </is>
      </c>
      <c r="I5" s="82" t="inlineStr">
        <is>
          <t>Growth override</t>
        </is>
      </c>
      <c r="J5" s="82" t="inlineStr">
        <is>
          <t>Offer factor</t>
        </is>
      </c>
      <c r="K5" s="82" t="inlineStr">
        <is>
          <t>On hand</t>
        </is>
      </c>
      <c r="L5" s="82" t="inlineStr">
        <is>
          <t>On order</t>
        </is>
      </c>
      <c r="M5" s="82" t="inlineStr">
        <is>
          <t>On order arrives (sellable date)</t>
        </is>
      </c>
      <c r="N5" s="82" t="inlineStr">
        <is>
          <t>Production days</t>
        </is>
      </c>
      <c r="O5" s="82" t="inlineStr">
        <is>
          <t>Freight mode</t>
        </is>
      </c>
      <c r="P5" s="82" t="inlineStr">
        <is>
          <t>Pack size</t>
        </is>
      </c>
      <c r="Q5" s="82" t="inlineStr">
        <is>
          <t>MOQ</t>
        </is>
      </c>
      <c r="R5" s="83" t="inlineStr">
        <is>
          <t>Input check</t>
        </is>
      </c>
      <c r="S5" s="83" t="inlineStr">
        <is>
          <t>Last year, stockout corrected</t>
        </is>
      </c>
      <c r="T5" s="83" t="inlineStr">
        <is>
          <t>BFCM base</t>
        </is>
      </c>
      <c r="U5" s="83" t="inlineStr">
        <is>
          <t>BFCM low</t>
        </is>
      </c>
      <c r="V5" s="83" t="inlineStr">
        <is>
          <t>BFCM high</t>
        </is>
      </c>
      <c r="W5" s="83" t="inlineStr">
        <is>
          <t>BFCM planned</t>
        </is>
      </c>
      <c r="X5" s="83" t="inlineStr">
        <is>
          <t>Demand through cover date</t>
        </is>
      </c>
      <c r="Y5" s="83" t="inlineStr">
        <is>
          <t>Safety stock</t>
        </is>
      </c>
      <c r="Z5" s="83" t="inlineStr">
        <is>
          <t>On order counted (arrives by cover date)</t>
        </is>
      </c>
      <c r="AA5" s="83" t="inlineStr">
        <is>
          <t>Units short</t>
        </is>
      </c>
      <c r="AB5" s="83" t="inlineStr">
        <is>
          <t>Order quantity</t>
        </is>
      </c>
      <c r="AC5" s="83" t="inlineStr">
        <is>
          <t>Order cost</t>
        </is>
      </c>
      <c r="AD5" s="83" t="inlineStr">
        <is>
          <t>Goods must leave by</t>
        </is>
      </c>
      <c r="AE5" s="83" t="inlineStr">
        <is>
          <t>PO deadline</t>
        </is>
      </c>
      <c r="AF5" s="83" t="inlineStr">
        <is>
          <t>Status</t>
        </is>
      </c>
      <c r="AG5" s="83" t="inlineStr">
        <is>
          <t>If ordered today, sellable on</t>
        </is>
      </c>
      <c r="AH5" s="83" t="inlineStr">
        <is>
          <t>Stock on hand runs out on</t>
        </is>
      </c>
      <c r="AI5" s="83" t="inlineStr">
        <is>
          <t>Stock warning</t>
        </is>
      </c>
      <c r="AJ5" s="83" t="inlineStr">
        <is>
          <t>Needed first (covers the sale and the days after)</t>
        </is>
      </c>
      <c r="AK5" s="83" t="inlineStr">
        <is>
          <t>Can land later</t>
        </is>
      </c>
      <c r="AL5" s="83" t="inlineStr">
        <is>
          <t>Later units check</t>
        </is>
      </c>
      <c r="AM5" s="83" t="inlineStr">
        <is>
          <t>Margin per unit</t>
        </is>
      </c>
      <c r="AN5" s="83" t="inlineStr">
        <is>
          <t>Margin per 1 of stock</t>
        </is>
      </c>
      <c r="AO5" s="83" t="inlineStr">
        <is>
          <t>Priority score</t>
        </is>
      </c>
      <c r="AP5" s="83" t="inlineStr">
        <is>
          <t>Priority rank</t>
        </is>
      </c>
      <c r="AQ5" s="83" t="inlineStr">
        <is>
          <t>Budget decision</t>
        </is>
      </c>
      <c r="AR5" s="83" t="inlineStr">
        <is>
          <t>Helper: first units before check</t>
        </is>
      </c>
      <c r="AS5" s="84" t="inlineStr">
        <is>
          <t>Helper: production can start</t>
        </is>
      </c>
      <c r="AT5" s="84" t="inlineStr">
        <is>
          <t>If flown today, sellable on</t>
        </is>
      </c>
    </row>
    <row r="6" ht="15" customHeight="1" s="46">
      <c r="A6" s="70" t="inlineStr">
        <is>
          <t>HOODIE-BLK</t>
        </is>
      </c>
      <c r="B6" s="70" t="inlineStr">
        <is>
          <t>Black hoodie (example)</t>
        </is>
      </c>
      <c r="C6" s="70" t="inlineStr">
        <is>
          <t>Evergreen</t>
        </is>
      </c>
      <c r="D6" s="85" t="n">
        <v>17</v>
      </c>
      <c r="E6" s="85" t="n">
        <v>45</v>
      </c>
      <c r="F6" s="86" t="n">
        <v>40</v>
      </c>
      <c r="G6" s="87" t="n">
        <v>600</v>
      </c>
      <c r="H6" s="88" t="n">
        <v>2.5</v>
      </c>
      <c r="I6" s="89" t="n"/>
      <c r="J6" s="90" t="n"/>
      <c r="K6" s="87" t="n">
        <v>2200</v>
      </c>
      <c r="L6" s="87" t="n">
        <v>1500</v>
      </c>
      <c r="M6" s="91" t="n">
        <v>46315</v>
      </c>
      <c r="N6" s="92" t="n">
        <v>30</v>
      </c>
      <c r="O6" s="70" t="inlineStr">
        <is>
          <t>Air</t>
        </is>
      </c>
      <c r="P6" s="92" t="n">
        <v>50</v>
      </c>
      <c r="Q6" s="87" t="n">
        <v>500</v>
      </c>
      <c r="R6" s="79" t="str">
        <f>IF($A6="","",IF($C6="","Missing: type",IF(OR($D6="",$D6&lt;=0),"Missing: unit cost",IF($E6="","Missing: unit price",IF($F6="","Missing: daily sales",IF($K6="","Missing: on hand",IF($N6="","Missing: production days",IF($O6="","Missing: freight mode",IF(ISNA(MATCH($O6,Setup!$B$25:$B$29,0)),"Unknown freight mode",IF(AND($L6&lt;&gt;"",$L6&gt;0,$M6=""),"Missing: on-order arrival date","OK"))))))))))</f>
        <v>OK</v>
      </c>
      <c r="S6" s="78">
        <f>IF($R6&lt;&gt;"OK","",IF($G6="","",ROUND($G6/IF(OR($H6="",$H6&lt;=0),4,$H6)*4,0)))</f>
        <v>960</v>
      </c>
      <c r="T6" s="78">
        <f>IF($R6&lt;&gt;"OK","",ROUND(IF($G6="",$F6*4*Setup!$C$19,$G6/IF(OR($H6="",$H6&lt;=0),4,$H6)*4*(1+IF($I6="",Setup!$C$16,$I6)))*IF($J6="",1,$J6),0))</f>
        <v>1152</v>
      </c>
      <c r="U6" s="78">
        <f>IF($R6&lt;&gt;"OK","",ROUND($T6*Setup!$C$17,0))</f>
        <v>922</v>
      </c>
      <c r="V6" s="78">
        <f>IF($R6&lt;&gt;"OK","",ROUND($T6*Setup!$C$18,0))</f>
        <v>1498</v>
      </c>
      <c r="W6" s="78">
        <f>IF($R6&lt;&gt;"OK","",IF($C6="Evergreen",$V6,IF($C6="Seasonal or new",$U6,$T6)))</f>
        <v>1498</v>
      </c>
      <c r="X6" s="78">
        <f>IF($R6&lt;&gt;"OK","",ROUND(($F6*MAX(0,MIN(Setup!$C$13+1,(Setup!$C$5-Setup!$C$7))-Setup!$C$4)+$F6*Setup!$C$8*MAX(0,MIN(Setup!$C$13+1,Setup!$C$5)-MAX((Setup!$C$5-Setup!$C$7),Setup!$C$4))+$W6/4*MAX(0,MIN(Setup!$C$13+1,Setup!$C$5+4)-MAX(Setup!$C$5,Setup!$C$4))+$F6*Setup!$C$14*MAX(0,Setup!$C$13+1-MAX(Setup!$C$5+4,Setup!$C$4))),0))</f>
        <v>5638</v>
      </c>
      <c r="Y6" s="78">
        <f>IF($R6&lt;&gt;"OK","",ROUND($F6*Setup!$C$15,0))</f>
        <v>480</v>
      </c>
      <c r="Z6" s="78">
        <f>IF($R6&lt;&gt;"OK","",IF(AND($L6&lt;&gt;"",$L6&gt;0),IF($M6&lt;=Setup!$C$13,$L6,0),0))</f>
        <v>1500</v>
      </c>
      <c r="AA6" s="78">
        <f>IF($R6&lt;&gt;"OK","",MAX(0,$X6+$Y6-$K6-$Z6))</f>
        <v>2418</v>
      </c>
      <c r="AB6" s="78">
        <f>IF($R6&lt;&gt;"OK","",IF($AA6=0,0,CEILING(MAX($AA6,IF($Q6="",0,$Q6)),IF(OR($P6="",$P6&lt;=0),1,$P6))))</f>
        <v>2450</v>
      </c>
      <c r="AC6" s="78">
        <f>IF($R6&lt;&gt;"OK","",$AB6*$D6)</f>
        <v>41650</v>
      </c>
      <c r="AD6" s="93">
        <f>IF($R6&lt;&gt;"OK","",INDEX(Setup!$D$25:$D$29,MATCH($O6,Setup!$B$25:$B$29,0)))</f>
        <v>46327</v>
      </c>
      <c r="AE6" s="93">
        <f>IF($R6&lt;&gt;"OK","",$AD6-$N6)</f>
        <v>46297</v>
      </c>
      <c r="AF6" s="79" t="str">
        <f>IF($R6&lt;&gt;"OK","",IF($AB6=0,"No order needed",IF($AE6&gt;=$AS6,"Order by the deadline",IF(AND($O6&lt;&gt;"Domestic",Setup!$D$27-$N6&gt;=$AS6),"Late by this mode: fly it",IF(Setup!$D$28-$N6&gt;=$AS6,"Late: Express courier only",IF($AG6&lt;Setup!$C$5,"Tight: lands before Black Friday",IF(AND($O6&lt;&gt;"Domestic",$AT6&lt;Setup!$C$5),"Tight: by Air lands before Black Friday",IF($AS6+$N6+Setup!$C$28+Setup!$C$11&lt;Setup!$C$5,"Tight: by Express lands before Black Friday","Too late: ration"))))))))</f>
        <v>Tight: lands before Black Friday</v>
      </c>
      <c r="AG6" s="93">
        <f>IF($R6&lt;&gt;"OK","",IF($AB6=0,"",$AS6+$N6+INDEX(Setup!$C$25:$C$29,MATCH($O6,Setup!$B$25:$B$29,0))+Setup!$C$11))</f>
        <v>46348</v>
      </c>
      <c r="AH6" s="93">
        <f>IF($R6&lt;&gt;"OK","",IF($F6&lt;=0,"",INT(IF($K6&lt;($F6*MAX(0,(Setup!$C$5-Setup!$C$7)-Setup!$C$4)),Setup!$C$4+$K6/$F6,IF($K6&lt;($F6*MAX(0,(Setup!$C$5-Setup!$C$7)-Setup!$C$4))+($F6*Setup!$C$8*MAX(0,Setup!$C$5-MAX((Setup!$C$5-Setup!$C$7),Setup!$C$4))),MAX((Setup!$C$5-Setup!$C$7),Setup!$C$4)+($K6-($F6*MAX(0,(Setup!$C$5-Setup!$C$7)-Setup!$C$4)))/($F6*Setup!$C$8),IF(AND($W6&gt;0,$K6&lt;($F6*MAX(0,(Setup!$C$5-Setup!$C$7)-Setup!$C$4))+($F6*Setup!$C$8*MAX(0,Setup!$C$5-MAX((Setup!$C$5-Setup!$C$7),Setup!$C$4)))+($W6/4*MAX(0,Setup!$C$5+4-MAX(Setup!$C$5,Setup!$C$4)))),MAX(Setup!$C$5,Setup!$C$4)+($K6-($F6*MAX(0,(Setup!$C$5-Setup!$C$7)-Setup!$C$4))-($F6*Setup!$C$8*MAX(0,Setup!$C$5-MAX((Setup!$C$5-Setup!$C$7),Setup!$C$4))))/($W6/4),MAX(Setup!$C$5+4,Setup!$C$4)+($K6-($F6*MAX(0,(Setup!$C$5-Setup!$C$7)-Setup!$C$4))-($F6*Setup!$C$8*MAX(0,Setup!$C$5-MAX((Setup!$C$5-Setup!$C$7),Setup!$C$4)))-($W6/4*MAX(0,Setup!$C$5+4-MAX(Setup!$C$5,Setup!$C$4))))/($F6*Setup!$C$14)))))))</f>
        <v>46352</v>
      </c>
      <c r="AI6" s="79" t="str">
        <f>IF($R6&lt;&gt;"OK","",IF(AND($L6&lt;&gt;"",$L6&gt;0,ISNUMBER($AH6),$M6&gt;$AH6),"Runs out before the incoming delivery arrives",IF($AB6=0,"OK",IF($K6+IF(AND($L6&lt;&gt;"",$L6&gt;0),IF($M6&lt;=$AG6,$L6,0),0)&lt;($F6*MAX(0,MIN($AG6,(Setup!$C$5-Setup!$C$7))-Setup!$C$4)+$F6*Setup!$C$8*MAX(0,MIN($AG6,Setup!$C$5)-MAX((Setup!$C$5-Setup!$C$7),Setup!$C$4))+$W6/4*MAX(0,MIN($AG6,Setup!$C$5+4)-MAX(Setup!$C$5,Setup!$C$4))+$F6*Setup!$C$14*MAX(0,$AG6-MAX(Setup!$C$5+4,Setup!$C$4))),"Runs out before this order can land","OK"))))</f>
        <v>OK</v>
      </c>
      <c r="AJ6" s="78">
        <f>IF($R6&lt;&gt;"OK","",IF($AB6=0,0,IF($AL6="Too slow: send it all fast",$AB6,$AR6)))</f>
        <v>1400</v>
      </c>
      <c r="AK6" s="78">
        <f>IF($R6&lt;&gt;"OK","",$AB6-$AJ6)</f>
        <v>1050</v>
      </c>
      <c r="AL6" s="78" t="str">
        <f>IF($R6&lt;&gt;"OK","",IF($AB6=0,"",IF($AB6-$AR6=0,"Nothing left over",IF($O6="Domestic",IF($AG6&lt;=Setup!$C$6+Setup!$C$20+1,"Later units can go by Domestic","Too slow: send it all fast"),IF($AS6+$N6+Setup!$C$25+Setup!$C$11&lt;=Setup!$C$6+Setup!$C$20+1,"Later units can go by Ocean long",IF($AS6+$N6+Setup!$C$26+Setup!$C$11&lt;=Setup!$C$6+Setup!$C$20+1,"Later units can go by Ocean short",IF($AS6+$N6+Setup!$C$27+Setup!$C$11&lt;=Setup!$C$6+Setup!$C$20+1,"Later units can go by Air",IF($AS6+$N6+Setup!$C$28+Setup!$C$11&lt;=Setup!$C$6+Setup!$C$20+1,"Later units can go by Express","Too slow: send it all fast"))))))))</f>
        <v>Later units can go by Air</v>
      </c>
      <c r="AM6" s="94">
        <f>IF($R6&lt;&gt;"OK","",$E6-$D6)</f>
        <v>28</v>
      </c>
      <c r="AN6" s="95">
        <f>IF($R6&lt;&gt;"OK","",($E6-$D6)/$D6)</f>
        <v>1.6470588235294117</v>
      </c>
      <c r="AO6" s="95">
        <f>IF($R6&lt;&gt;"OK","",IF($AB6&gt;0,$AN6+IF($C6="Evergreen",1000,0),""))</f>
        <v>1001.6470588235294</v>
      </c>
      <c r="AP6" s="78">
        <f>IF(OR($R6&lt;&gt;"OK",$AO6=""),"",COUNTIF($AO$6:$AO$205,"&gt;"&amp;$AO6)+COUNTIF($AO$6:$AO6,$AO6))</f>
        <v>1</v>
      </c>
      <c r="AQ6" s="78" t="str">
        <f>IF(OR($R6&lt;&gt;"OK",$AP6=""),"",INDEX('Buy list'!$G$5:$G$204,$AP6))</f>
        <v>Fund</v>
      </c>
      <c r="AR6" s="78">
        <f>IF($R6&lt;&gt;"OK","",IF($AB6=0,0,MIN($AB6,CEILING(MAX(0,($F6*MAX(0,MIN((Setup!$C$6+1+Setup!$C$20),(Setup!$C$5-Setup!$C$7))-Setup!$C$4)+$F6*Setup!$C$8*MAX(0,MIN((Setup!$C$6+1+Setup!$C$20),Setup!$C$5)-MAX((Setup!$C$5-Setup!$C$7),Setup!$C$4))+$W6/4*MAX(0,MIN((Setup!$C$6+1+Setup!$C$20),Setup!$C$5+4)-MAX(Setup!$C$5,Setup!$C$4))+$F6*Setup!$C$14*MAX(0,(Setup!$C$6+1+Setup!$C$20)-MAX(Setup!$C$5+4,Setup!$C$4)))+$Y6-$K6-IF(AND($L6&lt;&gt;"",$L6&gt;0),IF($M6&lt;=Setup!$C$10,$L6,0),0)),IF(OR($P6="",$P6&lt;=0),1,$P6)))))</f>
        <v>1400</v>
      </c>
      <c r="AS6" s="96">
        <f>IF($R6&lt;&gt;"OK","",IF(AND($O6&lt;&gt;"Domestic",ISNUMBER(Setup!$C$22),Setup!$C$22&gt;Setup!$C$4),Setup!$C$22,Setup!$C$4))</f>
        <v>46303</v>
      </c>
      <c r="AT6" s="96">
        <f>IF($R6&lt;&gt;"OK","",IF($AB6=0,"",IF($O6="Domestic",$AG6,$AS6+$N6+Setup!$C$27+Setup!$C$11)))</f>
        <v>46348</v>
      </c>
    </row>
    <row r="7" ht="15" customHeight="1" s="46">
      <c r="A7" s="70" t="inlineStr">
        <is>
          <t>TEE-WHT</t>
        </is>
      </c>
      <c r="B7" s="70" t="inlineStr">
        <is>
          <t>White tee (example)</t>
        </is>
      </c>
      <c r="C7" s="70" t="inlineStr">
        <is>
          <t>Steady</t>
        </is>
      </c>
      <c r="D7" s="85" t="n">
        <v>6</v>
      </c>
      <c r="E7" s="85" t="n">
        <v>25</v>
      </c>
      <c r="F7" s="86" t="n">
        <v>25</v>
      </c>
      <c r="G7" s="87" t="n">
        <v>300</v>
      </c>
      <c r="H7" s="88" t="n">
        <v>4</v>
      </c>
      <c r="I7" s="89" t="n"/>
      <c r="J7" s="90" t="n"/>
      <c r="K7" s="87" t="n">
        <v>1200</v>
      </c>
      <c r="L7" s="87" t="n"/>
      <c r="M7" s="91" t="n"/>
      <c r="N7" s="92" t="n">
        <v>15</v>
      </c>
      <c r="O7" s="70" t="inlineStr">
        <is>
          <t>Domestic</t>
        </is>
      </c>
      <c r="P7" s="92" t="n">
        <v>20</v>
      </c>
      <c r="Q7" s="87" t="n">
        <v>100</v>
      </c>
      <c r="R7" s="79" t="str">
        <f>IF($A7="","",IF($C7="","Missing: type",IF(OR($D7="",$D7&lt;=0),"Missing: unit cost",IF($E7="","Missing: unit price",IF($F7="","Missing: daily sales",IF($K7="","Missing: on hand",IF($N7="","Missing: production days",IF($O7="","Missing: freight mode",IF(ISNA(MATCH($O7,Setup!$B$25:$B$29,0)),"Unknown freight mode",IF(AND($L7&lt;&gt;"",$L7&gt;0,$M7=""),"Missing: on-order arrival date","OK"))))))))))</f>
        <v>OK</v>
      </c>
      <c r="S7" s="78">
        <f>IF($R7&lt;&gt;"OK","",IF($G7="","",ROUND($G7/IF(OR($H7="",$H7&lt;=0),4,$H7)*4,0)))</f>
        <v>300</v>
      </c>
      <c r="T7" s="78">
        <f>IF($R7&lt;&gt;"OK","",ROUND(IF($G7="",$F7*4*Setup!$C$19,$G7/IF(OR($H7="",$H7&lt;=0),4,$H7)*4*(1+IF($I7="",Setup!$C$16,$I7)))*IF($J7="",1,$J7),0))</f>
        <v>360</v>
      </c>
      <c r="U7" s="78">
        <f>IF($R7&lt;&gt;"OK","",ROUND($T7*Setup!$C$17,0))</f>
        <v>288</v>
      </c>
      <c r="V7" s="78">
        <f>IF($R7&lt;&gt;"OK","",ROUND($T7*Setup!$C$18,0))</f>
        <v>468</v>
      </c>
      <c r="W7" s="78">
        <f>IF($R7&lt;&gt;"OK","",IF($C7="Evergreen",$V7,IF($C7="Seasonal or new",$U7,$T7)))</f>
        <v>360</v>
      </c>
      <c r="X7" s="78">
        <f>IF($R7&lt;&gt;"OK","",ROUND(($F7*MAX(0,MIN(Setup!$C$13+1,(Setup!$C$5-Setup!$C$7))-Setup!$C$4)+$F7*Setup!$C$8*MAX(0,MIN(Setup!$C$13+1,Setup!$C$5)-MAX((Setup!$C$5-Setup!$C$7),Setup!$C$4))+$W7/4*MAX(0,MIN(Setup!$C$13+1,Setup!$C$5+4)-MAX(Setup!$C$5,Setup!$C$4))+$F7*Setup!$C$14*MAX(0,Setup!$C$13+1-MAX(Setup!$C$5+4,Setup!$C$4))),0))</f>
        <v>2948</v>
      </c>
      <c r="Y7" s="78">
        <f>IF($R7&lt;&gt;"OK","",ROUND($F7*Setup!$C$15,0))</f>
        <v>300</v>
      </c>
      <c r="Z7" s="78">
        <f>IF($R7&lt;&gt;"OK","",IF(AND($L7&lt;&gt;"",$L7&gt;0),IF($M7&lt;=Setup!$C$13,$L7,0),0))</f>
        <v>0</v>
      </c>
      <c r="AA7" s="78">
        <f>IF($R7&lt;&gt;"OK","",MAX(0,$X7+$Y7-$K7-$Z7))</f>
        <v>2048</v>
      </c>
      <c r="AB7" s="78">
        <f>IF($R7&lt;&gt;"OK","",IF($AA7=0,0,CEILING(MAX($AA7,IF($Q7="",0,$Q7)),IF(OR($P7="",$P7&lt;=0),1,$P7))))</f>
        <v>2060</v>
      </c>
      <c r="AC7" s="78">
        <f>IF($R7&lt;&gt;"OK","",$AB7*$D7)</f>
        <v>12360</v>
      </c>
      <c r="AD7" s="93">
        <f>IF($R7&lt;&gt;"OK","",INDEX(Setup!$D$25:$D$29,MATCH($O7,Setup!$B$25:$B$29,0)))</f>
        <v>46330</v>
      </c>
      <c r="AE7" s="93">
        <f>IF($R7&lt;&gt;"OK","",$AD7-$N7)</f>
        <v>46315</v>
      </c>
      <c r="AF7" s="79" t="str">
        <f>IF($R7&lt;&gt;"OK","",IF($AB7=0,"No order needed",IF($AE7&gt;=$AS7,"Order by the deadline",IF(AND($O7&lt;&gt;"Domestic",Setup!$D$27-$N7&gt;=$AS7),"Late by this mode: fly it",IF(Setup!$D$28-$N7&gt;=$AS7,"Late: Express courier only",IF($AG7&lt;Setup!$C$5,"Tight: lands before Black Friday",IF(AND($O7&lt;&gt;"Domestic",$AT7&lt;Setup!$C$5),"Tight: by Air lands before Black Friday",IF($AS7+$N7+Setup!$C$28+Setup!$C$11&lt;Setup!$C$5,"Tight: by Express lands before Black Friday","Too late: ration"))))))))</f>
        <v>Order by the deadline</v>
      </c>
      <c r="AG7" s="93">
        <f>IF($R7&lt;&gt;"OK","",IF($AB7=0,"",$AS7+$N7+INDEX(Setup!$C$25:$C$29,MATCH($O7,Setup!$B$25:$B$29,0))+Setup!$C$11))</f>
        <v>46327</v>
      </c>
      <c r="AH7" s="93">
        <f>IF($R7&lt;&gt;"OK","",IF($F7&lt;=0,"",INT(IF($K7&lt;($F7*MAX(0,(Setup!$C$5-Setup!$C$7)-Setup!$C$4)),Setup!$C$4+$K7/$F7,IF($K7&lt;($F7*MAX(0,(Setup!$C$5-Setup!$C$7)-Setup!$C$4))+($F7*Setup!$C$8*MAX(0,Setup!$C$5-MAX((Setup!$C$5-Setup!$C$7),Setup!$C$4))),MAX((Setup!$C$5-Setup!$C$7),Setup!$C$4)+($K7-($F7*MAX(0,(Setup!$C$5-Setup!$C$7)-Setup!$C$4)))/($F7*Setup!$C$8),IF(AND($W7&gt;0,$K7&lt;($F7*MAX(0,(Setup!$C$5-Setup!$C$7)-Setup!$C$4))+($F7*Setup!$C$8*MAX(0,Setup!$C$5-MAX((Setup!$C$5-Setup!$C$7),Setup!$C$4)))+($W7/4*MAX(0,Setup!$C$5+4-MAX(Setup!$C$5,Setup!$C$4)))),MAX(Setup!$C$5,Setup!$C$4)+($K7-($F7*MAX(0,(Setup!$C$5-Setup!$C$7)-Setup!$C$4))-($F7*Setup!$C$8*MAX(0,Setup!$C$5-MAX((Setup!$C$5-Setup!$C$7),Setup!$C$4))))/($W7/4),MAX(Setup!$C$5+4,Setup!$C$4)+($K7-($F7*MAX(0,(Setup!$C$5-Setup!$C$7)-Setup!$C$4))-($F7*Setup!$C$8*MAX(0,Setup!$C$5-MAX((Setup!$C$5-Setup!$C$7),Setup!$C$4)))-($W7/4*MAX(0,Setup!$C$5+4-MAX(Setup!$C$5,Setup!$C$4))))/($F7*Setup!$C$14)))))))</f>
        <v>46348</v>
      </c>
      <c r="AI7" s="79" t="str">
        <f>IF($R7&lt;&gt;"OK","",IF(AND($L7&lt;&gt;"",$L7&gt;0,ISNUMBER($AH7),$M7&gt;$AH7),"Runs out before the incoming delivery arrives",IF($AB7=0,"OK",IF($K7+IF(AND($L7&lt;&gt;"",$L7&gt;0),IF($M7&lt;=$AG7,$L7,0),0)&lt;($F7*MAX(0,MIN($AG7,(Setup!$C$5-Setup!$C$7))-Setup!$C$4)+$F7*Setup!$C$8*MAX(0,MIN($AG7,Setup!$C$5)-MAX((Setup!$C$5-Setup!$C$7),Setup!$C$4))+$W7/4*MAX(0,MIN($AG7,Setup!$C$5+4)-MAX(Setup!$C$5,Setup!$C$4))+$F7*Setup!$C$14*MAX(0,$AG7-MAX(Setup!$C$5+4,Setup!$C$4))),"Runs out before this order can land","OK"))))</f>
        <v>OK</v>
      </c>
      <c r="AJ7" s="78">
        <f>IF($R7&lt;&gt;"OK","",IF($AB7=0,0,IF($AL7="Too slow: send it all fast",$AB7,$AR7)))</f>
        <v>1420</v>
      </c>
      <c r="AK7" s="78">
        <f>IF($R7&lt;&gt;"OK","",$AB7-$AJ7)</f>
        <v>640</v>
      </c>
      <c r="AL7" s="78" t="str">
        <f>IF($R7&lt;&gt;"OK","",IF($AB7=0,"",IF($AB7-$AR7=0,"Nothing left over",IF($O7="Domestic",IF($AG7&lt;=Setup!$C$6+Setup!$C$20+1,"Later units can go by Domestic","Too slow: send it all fast"),IF($AS7+$N7+Setup!$C$25+Setup!$C$11&lt;=Setup!$C$6+Setup!$C$20+1,"Later units can go by Ocean long",IF($AS7+$N7+Setup!$C$26+Setup!$C$11&lt;=Setup!$C$6+Setup!$C$20+1,"Later units can go by Ocean short",IF($AS7+$N7+Setup!$C$27+Setup!$C$11&lt;=Setup!$C$6+Setup!$C$20+1,"Later units can go by Air",IF($AS7+$N7+Setup!$C$28+Setup!$C$11&lt;=Setup!$C$6+Setup!$C$20+1,"Later units can go by Express","Too slow: send it all fast"))))))))</f>
        <v>Later units can go by Domestic</v>
      </c>
      <c r="AM7" s="94">
        <f>IF($R7&lt;&gt;"OK","",$E7-$D7)</f>
        <v>19</v>
      </c>
      <c r="AN7" s="95">
        <f>IF($R7&lt;&gt;"OK","",($E7-$D7)/$D7)</f>
        <v>3.1666666666666665</v>
      </c>
      <c r="AO7" s="95">
        <f>IF($R7&lt;&gt;"OK","",IF($AB7&gt;0,$AN7+IF($C7="Evergreen",1000,0),""))</f>
        <v>3.1666666666666665</v>
      </c>
      <c r="AP7" s="78">
        <f>IF(OR($R7&lt;&gt;"OK",$AO7=""),"",COUNTIF($AO$6:$AO$205,"&gt;"&amp;$AO7)+COUNTIF($AO$6:$AO7,$AO7))</f>
        <v>2</v>
      </c>
      <c r="AQ7" s="78" t="str">
        <f>IF(OR($R7&lt;&gt;"OK",$AP7=""),"",INDEX('Buy list'!$G$5:$G$204,$AP7))</f>
        <v>Fund</v>
      </c>
      <c r="AR7" s="78">
        <f>IF($R7&lt;&gt;"OK","",IF($AB7=0,0,MIN($AB7,CEILING(MAX(0,($F7*MAX(0,MIN((Setup!$C$6+1+Setup!$C$20),(Setup!$C$5-Setup!$C$7))-Setup!$C$4)+$F7*Setup!$C$8*MAX(0,MIN((Setup!$C$6+1+Setup!$C$20),Setup!$C$5)-MAX((Setup!$C$5-Setup!$C$7),Setup!$C$4))+$W7/4*MAX(0,MIN((Setup!$C$6+1+Setup!$C$20),Setup!$C$5+4)-MAX(Setup!$C$5,Setup!$C$4))+$F7*Setup!$C$14*MAX(0,(Setup!$C$6+1+Setup!$C$20)-MAX(Setup!$C$5+4,Setup!$C$4)))+$Y7-$K7-IF(AND($L7&lt;&gt;"",$L7&gt;0),IF($M7&lt;=Setup!$C$10,$L7,0),0)),IF(OR($P7="",$P7&lt;=0),1,$P7)))))</f>
        <v>1420</v>
      </c>
      <c r="AS7" s="96">
        <f>IF($R7&lt;&gt;"OK","",IF(AND($O7&lt;&gt;"Domestic",ISNUMBER(Setup!$C$22),Setup!$C$22&gt;Setup!$C$4),Setup!$C$22,Setup!$C$4))</f>
        <v>46300</v>
      </c>
      <c r="AT7" s="96">
        <f>IF($R7&lt;&gt;"OK","",IF($AB7=0,"",IF($O7="Domestic",$AG7,$AS7+$N7+Setup!$C$27+Setup!$C$11)))</f>
        <v>46327</v>
      </c>
    </row>
    <row r="8" ht="15" customHeight="1" s="46">
      <c r="A8" s="70" t="inlineStr">
        <is>
          <t>GIFT-SET</t>
        </is>
      </c>
      <c r="B8" s="70" t="inlineStr">
        <is>
          <t>Holiday gift set (example)</t>
        </is>
      </c>
      <c r="C8" s="70" t="inlineStr">
        <is>
          <t>Seasonal or new</t>
        </is>
      </c>
      <c r="D8" s="85" t="n">
        <v>22</v>
      </c>
      <c r="E8" s="85" t="n">
        <v>60</v>
      </c>
      <c r="F8" s="86" t="n">
        <v>6</v>
      </c>
      <c r="G8" s="87" t="n"/>
      <c r="H8" s="88" t="n"/>
      <c r="I8" s="89" t="n"/>
      <c r="J8" s="90" t="n"/>
      <c r="K8" s="87" t="n">
        <v>150</v>
      </c>
      <c r="L8" s="87" t="n"/>
      <c r="M8" s="91" t="n"/>
      <c r="N8" s="92" t="n">
        <v>20</v>
      </c>
      <c r="O8" s="70" t="inlineStr">
        <is>
          <t>Ocean short</t>
        </is>
      </c>
      <c r="P8" s="92" t="n">
        <v>24</v>
      </c>
      <c r="Q8" s="87" t="n">
        <v>240</v>
      </c>
      <c r="R8" s="79" t="str">
        <f>IF($A8="","",IF($C8="","Missing: type",IF(OR($D8="",$D8&lt;=0),"Missing: unit cost",IF($E8="","Missing: unit price",IF($F8="","Missing: daily sales",IF($K8="","Missing: on hand",IF($N8="","Missing: production days",IF($O8="","Missing: freight mode",IF(ISNA(MATCH($O8,Setup!$B$25:$B$29,0)),"Unknown freight mode",IF(AND($L8&lt;&gt;"",$L8&gt;0,$M8=""),"Missing: on-order arrival date","OK"))))))))))</f>
        <v>OK</v>
      </c>
      <c r="S8" s="78" t="str">
        <f>IF($R8&lt;&gt;"OK","",IF($G8="","",ROUND($G8/IF(OR($H8="",$H8&lt;=0),4,$H8)*4,0)))</f>
        <v/>
      </c>
      <c r="T8" s="78">
        <f>IF($R8&lt;&gt;"OK","",ROUND(IF($G8="",$F8*4*Setup!$C$19,$G8/IF(OR($H8="",$H8&lt;=0),4,$H8)*4*(1+IF($I8="",Setup!$C$16,$I8)))*IF($J8="",1,$J8),0))</f>
        <v>96</v>
      </c>
      <c r="U8" s="78">
        <f>IF($R8&lt;&gt;"OK","",ROUND($T8*Setup!$C$17,0))</f>
        <v>77</v>
      </c>
      <c r="V8" s="78">
        <f>IF($R8&lt;&gt;"OK","",ROUND($T8*Setup!$C$18,0))</f>
        <v>125</v>
      </c>
      <c r="W8" s="78">
        <f>IF($R8&lt;&gt;"OK","",IF($C8="Evergreen",$V8,IF($C8="Seasonal or new",$U8,$T8)))</f>
        <v>77</v>
      </c>
      <c r="X8" s="78">
        <f>IF($R8&lt;&gt;"OK","",ROUND(($F8*MAX(0,MIN(Setup!$C$13+1,(Setup!$C$5-Setup!$C$7))-Setup!$C$4)+$F8*Setup!$C$8*MAX(0,MIN(Setup!$C$13+1,Setup!$C$5)-MAX((Setup!$C$5-Setup!$C$7),Setup!$C$4))+$W8/4*MAX(0,MIN(Setup!$C$13+1,Setup!$C$5+4)-MAX(Setup!$C$5,Setup!$C$4))+$F8*Setup!$C$14*MAX(0,Setup!$C$13+1-MAX(Setup!$C$5+4,Setup!$C$4))),0))</f>
        <v>698</v>
      </c>
      <c r="Y8" s="78">
        <f>IF($R8&lt;&gt;"OK","",ROUND($F8*Setup!$C$15,0))</f>
        <v>72</v>
      </c>
      <c r="Z8" s="78">
        <f>IF($R8&lt;&gt;"OK","",IF(AND($L8&lt;&gt;"",$L8&gt;0),IF($M8&lt;=Setup!$C$13,$L8,0),0))</f>
        <v>0</v>
      </c>
      <c r="AA8" s="78">
        <f>IF($R8&lt;&gt;"OK","",MAX(0,$X8+$Y8-$K8-$Z8))</f>
        <v>620</v>
      </c>
      <c r="AB8" s="78">
        <f>IF($R8&lt;&gt;"OK","",IF($AA8=0,0,CEILING(MAX($AA8,IF($Q8="",0,$Q8)),IF(OR($P8="",$P8&lt;=0),1,$P8))))</f>
        <v>624</v>
      </c>
      <c r="AC8" s="78">
        <f>IF($R8&lt;&gt;"OK","",$AB8*$D8)</f>
        <v>13728</v>
      </c>
      <c r="AD8" s="93">
        <f>IF($R8&lt;&gt;"OK","",INDEX(Setup!$D$25:$D$29,MATCH($O8,Setup!$B$25:$B$29,0)))</f>
        <v>46302</v>
      </c>
      <c r="AE8" s="93">
        <f>IF($R8&lt;&gt;"OK","",$AD8-$N8)</f>
        <v>46282</v>
      </c>
      <c r="AF8" s="79" t="str">
        <f>IF($R8&lt;&gt;"OK","",IF($AB8=0,"No order needed",IF($AE8&gt;=$AS8,"Order by the deadline",IF(AND($O8&lt;&gt;"Domestic",Setup!$D$27-$N8&gt;=$AS8),"Late by this mode: fly it",IF(Setup!$D$28-$N8&gt;=$AS8,"Late: Express courier only",IF($AG8&lt;Setup!$C$5,"Tight: lands before Black Friday",IF(AND($O8&lt;&gt;"Domestic",$AT8&lt;Setup!$C$5),"Tight: by Air lands before Black Friday",IF($AS8+$N8+Setup!$C$28+Setup!$C$11&lt;Setup!$C$5,"Tight: by Express lands before Black Friday","Too late: ration"))))))))</f>
        <v>Late by this mode: fly it</v>
      </c>
      <c r="AG8" s="93">
        <f>IF($R8&lt;&gt;"OK","",IF($AB8=0,"",$AS8+$N8+INDEX(Setup!$C$25:$C$29,MATCH($O8,Setup!$B$25:$B$29,0))+Setup!$C$11))</f>
        <v>46363</v>
      </c>
      <c r="AH8" s="93">
        <f>IF($R8&lt;&gt;"OK","",IF($F8&lt;=0,"",INT(IF($K8&lt;($F8*MAX(0,(Setup!$C$5-Setup!$C$7)-Setup!$C$4)),Setup!$C$4+$K8/$F8,IF($K8&lt;($F8*MAX(0,(Setup!$C$5-Setup!$C$7)-Setup!$C$4))+($F8*Setup!$C$8*MAX(0,Setup!$C$5-MAX((Setup!$C$5-Setup!$C$7),Setup!$C$4))),MAX((Setup!$C$5-Setup!$C$7),Setup!$C$4)+($K8-($F8*MAX(0,(Setup!$C$5-Setup!$C$7)-Setup!$C$4)))/($F8*Setup!$C$8),IF(AND($W8&gt;0,$K8&lt;($F8*MAX(0,(Setup!$C$5-Setup!$C$7)-Setup!$C$4))+($F8*Setup!$C$8*MAX(0,Setup!$C$5-MAX((Setup!$C$5-Setup!$C$7),Setup!$C$4)))+($W8/4*MAX(0,Setup!$C$5+4-MAX(Setup!$C$5,Setup!$C$4)))),MAX(Setup!$C$5,Setup!$C$4)+($K8-($F8*MAX(0,(Setup!$C$5-Setup!$C$7)-Setup!$C$4))-($F8*Setup!$C$8*MAX(0,Setup!$C$5-MAX((Setup!$C$5-Setup!$C$7),Setup!$C$4))))/($W8/4),MAX(Setup!$C$5+4,Setup!$C$4)+($K8-($F8*MAX(0,(Setup!$C$5-Setup!$C$7)-Setup!$C$4))-($F8*Setup!$C$8*MAX(0,Setup!$C$5-MAX((Setup!$C$5-Setup!$C$7),Setup!$C$4)))-($W8/4*MAX(0,Setup!$C$5+4-MAX(Setup!$C$5,Setup!$C$4))))/($F8*Setup!$C$14)))))))</f>
        <v>46325</v>
      </c>
      <c r="AI8" s="79" t="str">
        <f>IF($R8&lt;&gt;"OK","",IF(AND($L8&lt;&gt;"",$L8&gt;0,ISNUMBER($AH8),$M8&gt;$AH8),"Runs out before the incoming delivery arrives",IF($AB8=0,"OK",IF($K8+IF(AND($L8&lt;&gt;"",$L8&gt;0),IF($M8&lt;=$AG8,$L8,0),0)&lt;($F8*MAX(0,MIN($AG8,(Setup!$C$5-Setup!$C$7))-Setup!$C$4)+$F8*Setup!$C$8*MAX(0,MIN($AG8,Setup!$C$5)-MAX((Setup!$C$5-Setup!$C$7),Setup!$C$4))+$W8/4*MAX(0,MIN($AG8,Setup!$C$5+4)-MAX(Setup!$C$5,Setup!$C$4))+$F8*Setup!$C$14*MAX(0,$AG8-MAX(Setup!$C$5+4,Setup!$C$4))),"Runs out before this order can land","OK"))))</f>
        <v>Runs out before this order can land</v>
      </c>
      <c r="AJ8" s="78">
        <f>IF($R8&lt;&gt;"OK","",IF($AB8=0,0,IF($AL8="Too slow: send it all fast",$AB8,$AR8)))</f>
        <v>480</v>
      </c>
      <c r="AK8" s="78">
        <f>IF($R8&lt;&gt;"OK","",$AB8-$AJ8)</f>
        <v>144</v>
      </c>
      <c r="AL8" s="78" t="str">
        <f>IF($R8&lt;&gt;"OK","",IF($AB8=0,"",IF($AB8-$AR8=0,"Nothing left over",IF($O8="Domestic",IF($AG8&lt;=Setup!$C$6+Setup!$C$20+1,"Later units can go by Domestic","Too slow: send it all fast"),IF($AS8+$N8+Setup!$C$25+Setup!$C$11&lt;=Setup!$C$6+Setup!$C$20+1,"Later units can go by Ocean long",IF($AS8+$N8+Setup!$C$26+Setup!$C$11&lt;=Setup!$C$6+Setup!$C$20+1,"Later units can go by Ocean short",IF($AS8+$N8+Setup!$C$27+Setup!$C$11&lt;=Setup!$C$6+Setup!$C$20+1,"Later units can go by Air",IF($AS8+$N8+Setup!$C$28+Setup!$C$11&lt;=Setup!$C$6+Setup!$C$20+1,"Later units can go by Express","Too slow: send it all fast"))))))))</f>
        <v>Later units can go by Ocean short</v>
      </c>
      <c r="AM8" s="94">
        <f>IF($R8&lt;&gt;"OK","",$E8-$D8)</f>
        <v>38</v>
      </c>
      <c r="AN8" s="95">
        <f>IF($R8&lt;&gt;"OK","",($E8-$D8)/$D8)</f>
        <v>1.7272727272727273</v>
      </c>
      <c r="AO8" s="95">
        <f>IF($R8&lt;&gt;"OK","",IF($AB8&gt;0,$AN8+IF($C8="Evergreen",1000,0),""))</f>
        <v>1.7272727272727273</v>
      </c>
      <c r="AP8" s="78">
        <f>IF(OR($R8&lt;&gt;"OK",$AO8=""),"",COUNTIF($AO$6:$AO$205,"&gt;"&amp;$AO8)+COUNTIF($AO$6:$AO8,$AO8))</f>
        <v>3</v>
      </c>
      <c r="AQ8" s="78" t="str">
        <f>IF(OR($R8&lt;&gt;"OK",$AP8=""),"",INDEX('Buy list'!$G$5:$G$204,$AP8))</f>
        <v>Fund</v>
      </c>
      <c r="AR8" s="78">
        <f>IF($R8&lt;&gt;"OK","",IF($AB8=0,0,MIN($AB8,CEILING(MAX(0,($F8*MAX(0,MIN((Setup!$C$6+1+Setup!$C$20),(Setup!$C$5-Setup!$C$7))-Setup!$C$4)+$F8*Setup!$C$8*MAX(0,MIN((Setup!$C$6+1+Setup!$C$20),Setup!$C$5)-MAX((Setup!$C$5-Setup!$C$7),Setup!$C$4))+$W8/4*MAX(0,MIN((Setup!$C$6+1+Setup!$C$20),Setup!$C$5+4)-MAX(Setup!$C$5,Setup!$C$4))+$F8*Setup!$C$14*MAX(0,(Setup!$C$6+1+Setup!$C$20)-MAX(Setup!$C$5+4,Setup!$C$4)))+$Y8-$K8-IF(AND($L8&lt;&gt;"",$L8&gt;0),IF($M8&lt;=Setup!$C$10,$L8,0),0)),IF(OR($P8="",$P8&lt;=0),1,$P8)))))</f>
        <v>480</v>
      </c>
      <c r="AS8" s="96">
        <f>IF($R8&lt;&gt;"OK","",IF(AND($O8&lt;&gt;"Domestic",ISNUMBER(Setup!$C$22),Setup!$C$22&gt;Setup!$C$4),Setup!$C$22,Setup!$C$4))</f>
        <v>46303</v>
      </c>
      <c r="AT8" s="96">
        <f>IF($R8&lt;&gt;"OK","",IF($AB8=0,"",IF($O8="Domestic",$AG8,$AS8+$N8+Setup!$C$27+Setup!$C$11)))</f>
        <v>46338</v>
      </c>
    </row>
    <row r="9" ht="15" customHeight="1" s="46">
      <c r="A9" s="70" t="n"/>
      <c r="B9" s="70" t="n"/>
      <c r="C9" s="70" t="n"/>
      <c r="D9" s="85" t="n"/>
      <c r="E9" s="85" t="n"/>
      <c r="F9" s="86" t="n"/>
      <c r="G9" s="87" t="n"/>
      <c r="H9" s="88" t="n"/>
      <c r="I9" s="89" t="n"/>
      <c r="J9" s="90" t="n"/>
      <c r="K9" s="87" t="n"/>
      <c r="L9" s="87" t="n"/>
      <c r="M9" s="91" t="n"/>
      <c r="N9" s="92" t="n"/>
      <c r="O9" s="70" t="n"/>
      <c r="P9" s="92" t="n"/>
      <c r="Q9" s="87" t="n"/>
      <c r="R9" s="79" t="str">
        <f>IF($A9="","",IF($C9="","Missing: type",IF(OR($D9="",$D9&lt;=0),"Missing: unit cost",IF($E9="","Missing: unit price",IF($F9="","Missing: daily sales",IF($K9="","Missing: on hand",IF($N9="","Missing: production days",IF($O9="","Missing: freight mode",IF(ISNA(MATCH($O9,Setup!$B$25:$B$29,0)),"Unknown freight mode",IF(AND($L9&lt;&gt;"",$L9&gt;0,$M9=""),"Missing: on-order arrival date","OK"))))))))))</f>
        <v/>
      </c>
      <c r="S9" s="78" t="str">
        <f>IF($R9&lt;&gt;"OK","",IF($G9="","",ROUND($G9/IF(OR($H9="",$H9&lt;=0),4,$H9)*4,0)))</f>
        <v/>
      </c>
      <c r="T9" s="78" t="str">
        <f>IF($R9&lt;&gt;"OK","",ROUND(IF($G9="",$F9*4*Setup!$C$19,$G9/IF(OR($H9="",$H9&lt;=0),4,$H9)*4*(1+IF($I9="",Setup!$C$16,$I9)))*IF($J9="",1,$J9),0))</f>
        <v/>
      </c>
      <c r="U9" s="78" t="str">
        <f>IF($R9&lt;&gt;"OK","",ROUND($T9*Setup!$C$17,0))</f>
        <v/>
      </c>
      <c r="V9" s="78" t="str">
        <f>IF($R9&lt;&gt;"OK","",ROUND($T9*Setup!$C$18,0))</f>
        <v/>
      </c>
      <c r="W9" s="78" t="str">
        <f>IF($R9&lt;&gt;"OK","",IF($C9="Evergreen",$V9,IF($C9="Seasonal or new",$U9,$T9)))</f>
        <v/>
      </c>
      <c r="X9" s="78" t="str">
        <f>IF($R9&lt;&gt;"OK","",ROUND(($F9*MAX(0,MIN(Setup!$C$13+1,(Setup!$C$5-Setup!$C$7))-Setup!$C$4)+$F9*Setup!$C$8*MAX(0,MIN(Setup!$C$13+1,Setup!$C$5)-MAX((Setup!$C$5-Setup!$C$7),Setup!$C$4))+$W9/4*MAX(0,MIN(Setup!$C$13+1,Setup!$C$5+4)-MAX(Setup!$C$5,Setup!$C$4))+$F9*Setup!$C$14*MAX(0,Setup!$C$13+1-MAX(Setup!$C$5+4,Setup!$C$4))),0))</f>
        <v/>
      </c>
      <c r="Y9" s="78" t="str">
        <f>IF($R9&lt;&gt;"OK","",ROUND($F9*Setup!$C$15,0))</f>
        <v/>
      </c>
      <c r="Z9" s="78" t="str">
        <f>IF($R9&lt;&gt;"OK","",IF(AND($L9&lt;&gt;"",$L9&gt;0),IF($M9&lt;=Setup!$C$13,$L9,0),0))</f>
        <v/>
      </c>
      <c r="AA9" s="78" t="str">
        <f>IF($R9&lt;&gt;"OK","",MAX(0,$X9+$Y9-$K9-$Z9))</f>
        <v/>
      </c>
      <c r="AB9" s="78" t="str">
        <f>IF($R9&lt;&gt;"OK","",IF($AA9=0,0,CEILING(MAX($AA9,IF($Q9="",0,$Q9)),IF(OR($P9="",$P9&lt;=0),1,$P9))))</f>
        <v/>
      </c>
      <c r="AC9" s="78" t="str">
        <f>IF($R9&lt;&gt;"OK","",$AB9*$D9)</f>
        <v/>
      </c>
      <c r="AD9" s="93" t="str">
        <f>IF($R9&lt;&gt;"OK","",INDEX(Setup!$D$25:$D$29,MATCH($O9,Setup!$B$25:$B$29,0)))</f>
        <v/>
      </c>
      <c r="AE9" s="93" t="str">
        <f>IF($R9&lt;&gt;"OK","",$AD9-$N9)</f>
        <v/>
      </c>
      <c r="AF9" s="79" t="str">
        <f>IF($R9&lt;&gt;"OK","",IF($AB9=0,"No order needed",IF($AE9&gt;=$AS9,"Order by the deadline",IF(AND($O9&lt;&gt;"Domestic",Setup!$D$27-$N9&gt;=$AS9),"Late by this mode: fly it",IF(Setup!$D$28-$N9&gt;=$AS9,"Late: Express courier only",IF($AG9&lt;Setup!$C$5,"Tight: lands before Black Friday",IF(AND($O9&lt;&gt;"Domestic",$AT9&lt;Setup!$C$5),"Tight: by Air lands before Black Friday",IF($AS9+$N9+Setup!$C$28+Setup!$C$11&lt;Setup!$C$5,"Tight: by Express lands before Black Friday","Too late: ration"))))))))</f>
        <v/>
      </c>
      <c r="AG9" s="93" t="str">
        <f>IF($R9&lt;&gt;"OK","",IF($AB9=0,"",$AS9+$N9+INDEX(Setup!$C$25:$C$29,MATCH($O9,Setup!$B$25:$B$29,0))+Setup!$C$11))</f>
        <v/>
      </c>
      <c r="AH9" s="93" t="str">
        <f>IF($R9&lt;&gt;"OK","",IF($F9&lt;=0,"",INT(IF($K9&lt;($F9*MAX(0,(Setup!$C$5-Setup!$C$7)-Setup!$C$4)),Setup!$C$4+$K9/$F9,IF($K9&lt;($F9*MAX(0,(Setup!$C$5-Setup!$C$7)-Setup!$C$4))+($F9*Setup!$C$8*MAX(0,Setup!$C$5-MAX((Setup!$C$5-Setup!$C$7),Setup!$C$4))),MAX((Setup!$C$5-Setup!$C$7),Setup!$C$4)+($K9-($F9*MAX(0,(Setup!$C$5-Setup!$C$7)-Setup!$C$4)))/($F9*Setup!$C$8),IF(AND($W9&gt;0,$K9&lt;($F9*MAX(0,(Setup!$C$5-Setup!$C$7)-Setup!$C$4))+($F9*Setup!$C$8*MAX(0,Setup!$C$5-MAX((Setup!$C$5-Setup!$C$7),Setup!$C$4)))+($W9/4*MAX(0,Setup!$C$5+4-MAX(Setup!$C$5,Setup!$C$4)))),MAX(Setup!$C$5,Setup!$C$4)+($K9-($F9*MAX(0,(Setup!$C$5-Setup!$C$7)-Setup!$C$4))-($F9*Setup!$C$8*MAX(0,Setup!$C$5-MAX((Setup!$C$5-Setup!$C$7),Setup!$C$4))))/($W9/4),MAX(Setup!$C$5+4,Setup!$C$4)+($K9-($F9*MAX(0,(Setup!$C$5-Setup!$C$7)-Setup!$C$4))-($F9*Setup!$C$8*MAX(0,Setup!$C$5-MAX((Setup!$C$5-Setup!$C$7),Setup!$C$4)))-($W9/4*MAX(0,Setup!$C$5+4-MAX(Setup!$C$5,Setup!$C$4))))/($F9*Setup!$C$14)))))))</f>
        <v/>
      </c>
      <c r="AI9" s="79" t="str">
        <f>IF($R9&lt;&gt;"OK","",IF(AND($L9&lt;&gt;"",$L9&gt;0,ISNUMBER($AH9),$M9&gt;$AH9),"Runs out before the incoming delivery arrives",IF($AB9=0,"OK",IF($K9+IF(AND($L9&lt;&gt;"",$L9&gt;0),IF($M9&lt;=$AG9,$L9,0),0)&lt;($F9*MAX(0,MIN($AG9,(Setup!$C$5-Setup!$C$7))-Setup!$C$4)+$F9*Setup!$C$8*MAX(0,MIN($AG9,Setup!$C$5)-MAX((Setup!$C$5-Setup!$C$7),Setup!$C$4))+$W9/4*MAX(0,MIN($AG9,Setup!$C$5+4)-MAX(Setup!$C$5,Setup!$C$4))+$F9*Setup!$C$14*MAX(0,$AG9-MAX(Setup!$C$5+4,Setup!$C$4))),"Runs out before this order can land","OK"))))</f>
        <v/>
      </c>
      <c r="AJ9" s="78" t="str">
        <f>IF($R9&lt;&gt;"OK","",IF($AB9=0,0,IF($AL9="Too slow: send it all fast",$AB9,$AR9)))</f>
        <v/>
      </c>
      <c r="AK9" s="78" t="str">
        <f>IF($R9&lt;&gt;"OK","",$AB9-$AJ9)</f>
        <v/>
      </c>
      <c r="AL9" s="78" t="str">
        <f>IF($R9&lt;&gt;"OK","",IF($AB9=0,"",IF($AB9-$AR9=0,"Nothing left over",IF($O9="Domestic",IF($AG9&lt;=Setup!$C$6+Setup!$C$20+1,"Later units can go by Domestic","Too slow: send it all fast"),IF($AS9+$N9+Setup!$C$25+Setup!$C$11&lt;=Setup!$C$6+Setup!$C$20+1,"Later units can go by Ocean long",IF($AS9+$N9+Setup!$C$26+Setup!$C$11&lt;=Setup!$C$6+Setup!$C$20+1,"Later units can go by Ocean short",IF($AS9+$N9+Setup!$C$27+Setup!$C$11&lt;=Setup!$C$6+Setup!$C$20+1,"Later units can go by Air",IF($AS9+$N9+Setup!$C$28+Setup!$C$11&lt;=Setup!$C$6+Setup!$C$20+1,"Later units can go by Express","Too slow: send it all fast"))))))))</f>
        <v/>
      </c>
      <c r="AM9" s="94" t="str">
        <f>IF($R9&lt;&gt;"OK","",$E9-$D9)</f>
        <v/>
      </c>
      <c r="AN9" s="95" t="str">
        <f>IF($R9&lt;&gt;"OK","",($E9-$D9)/$D9)</f>
        <v/>
      </c>
      <c r="AO9" s="95" t="str">
        <f>IF($R9&lt;&gt;"OK","",IF($AB9&gt;0,$AN9+IF($C9="Evergreen",1000,0),""))</f>
        <v/>
      </c>
      <c r="AP9" s="78" t="str">
        <f>IF(OR($R9&lt;&gt;"OK",$AO9=""),"",COUNTIF($AO$6:$AO$205,"&gt;"&amp;$AO9)+COUNTIF($AO$6:$AO9,$AO9))</f>
        <v/>
      </c>
      <c r="AQ9" s="78" t="str">
        <f>IF(OR($R9&lt;&gt;"OK",$AP9=""),"",INDEX('Buy list'!$G$5:$G$204,$AP9))</f>
        <v/>
      </c>
      <c r="AR9" s="78" t="str">
        <f>IF($R9&lt;&gt;"OK","",IF($AB9=0,0,MIN($AB9,CEILING(MAX(0,($F9*MAX(0,MIN((Setup!$C$6+1+Setup!$C$20),(Setup!$C$5-Setup!$C$7))-Setup!$C$4)+$F9*Setup!$C$8*MAX(0,MIN((Setup!$C$6+1+Setup!$C$20),Setup!$C$5)-MAX((Setup!$C$5-Setup!$C$7),Setup!$C$4))+$W9/4*MAX(0,MIN((Setup!$C$6+1+Setup!$C$20),Setup!$C$5+4)-MAX(Setup!$C$5,Setup!$C$4))+$F9*Setup!$C$14*MAX(0,(Setup!$C$6+1+Setup!$C$20)-MAX(Setup!$C$5+4,Setup!$C$4)))+$Y9-$K9-IF(AND($L9&lt;&gt;"",$L9&gt;0),IF($M9&lt;=Setup!$C$10,$L9,0),0)),IF(OR($P9="",$P9&lt;=0),1,$P9)))))</f>
        <v/>
      </c>
      <c r="AS9" s="96" t="str">
        <f>IF($R9&lt;&gt;"OK","",IF(AND($O9&lt;&gt;"Domestic",ISNUMBER(Setup!$C$22),Setup!$C$22&gt;Setup!$C$4),Setup!$C$22,Setup!$C$4))</f>
        <v/>
      </c>
      <c r="AT9" s="96" t="str">
        <f>IF($R9&lt;&gt;"OK","",IF($AB9=0,"",IF($O9="Domestic",$AG9,$AS9+$N9+Setup!$C$27+Setup!$C$11)))</f>
        <v/>
      </c>
    </row>
    <row r="10" ht="15" customHeight="1" s="46">
      <c r="A10" s="70" t="n"/>
      <c r="B10" s="70" t="n"/>
      <c r="C10" s="70" t="n"/>
      <c r="D10" s="85" t="n"/>
      <c r="E10" s="85" t="n"/>
      <c r="F10" s="86" t="n"/>
      <c r="G10" s="87" t="n"/>
      <c r="H10" s="88" t="n"/>
      <c r="I10" s="89" t="n"/>
      <c r="J10" s="90" t="n"/>
      <c r="K10" s="87" t="n"/>
      <c r="L10" s="87" t="n"/>
      <c r="M10" s="91" t="n"/>
      <c r="N10" s="92" t="n"/>
      <c r="O10" s="70" t="n"/>
      <c r="P10" s="92" t="n"/>
      <c r="Q10" s="87" t="n"/>
      <c r="R10" s="79" t="str">
        <f>IF($A10="","",IF($C10="","Missing: type",IF(OR($D10="",$D10&lt;=0),"Missing: unit cost",IF($E10="","Missing: unit price",IF($F10="","Missing: daily sales",IF($K10="","Missing: on hand",IF($N10="","Missing: production days",IF($O10="","Missing: freight mode",IF(ISNA(MATCH($O10,Setup!$B$25:$B$29,0)),"Unknown freight mode",IF(AND($L10&lt;&gt;"",$L10&gt;0,$M10=""),"Missing: on-order arrival date","OK"))))))))))</f>
        <v/>
      </c>
      <c r="S10" s="78" t="str">
        <f>IF($R10&lt;&gt;"OK","",IF($G10="","",ROUND($G10/IF(OR($H10="",$H10&lt;=0),4,$H10)*4,0)))</f>
        <v/>
      </c>
      <c r="T10" s="78" t="str">
        <f>IF($R10&lt;&gt;"OK","",ROUND(IF($G10="",$F10*4*Setup!$C$19,$G10/IF(OR($H10="",$H10&lt;=0),4,$H10)*4*(1+IF($I10="",Setup!$C$16,$I10)))*IF($J10="",1,$J10),0))</f>
        <v/>
      </c>
      <c r="U10" s="78" t="str">
        <f>IF($R10&lt;&gt;"OK","",ROUND($T10*Setup!$C$17,0))</f>
        <v/>
      </c>
      <c r="V10" s="78" t="str">
        <f>IF($R10&lt;&gt;"OK","",ROUND($T10*Setup!$C$18,0))</f>
        <v/>
      </c>
      <c r="W10" s="78" t="str">
        <f>IF($R10&lt;&gt;"OK","",IF($C10="Evergreen",$V10,IF($C10="Seasonal or new",$U10,$T10)))</f>
        <v/>
      </c>
      <c r="X10" s="78" t="str">
        <f>IF($R10&lt;&gt;"OK","",ROUND(($F10*MAX(0,MIN(Setup!$C$13+1,(Setup!$C$5-Setup!$C$7))-Setup!$C$4)+$F10*Setup!$C$8*MAX(0,MIN(Setup!$C$13+1,Setup!$C$5)-MAX((Setup!$C$5-Setup!$C$7),Setup!$C$4))+$W10/4*MAX(0,MIN(Setup!$C$13+1,Setup!$C$5+4)-MAX(Setup!$C$5,Setup!$C$4))+$F10*Setup!$C$14*MAX(0,Setup!$C$13+1-MAX(Setup!$C$5+4,Setup!$C$4))),0))</f>
        <v/>
      </c>
      <c r="Y10" s="78" t="str">
        <f>IF($R10&lt;&gt;"OK","",ROUND($F10*Setup!$C$15,0))</f>
        <v/>
      </c>
      <c r="Z10" s="78" t="str">
        <f>IF($R10&lt;&gt;"OK","",IF(AND($L10&lt;&gt;"",$L10&gt;0),IF($M10&lt;=Setup!$C$13,$L10,0),0))</f>
        <v/>
      </c>
      <c r="AA10" s="78" t="str">
        <f>IF($R10&lt;&gt;"OK","",MAX(0,$X10+$Y10-$K10-$Z10))</f>
        <v/>
      </c>
      <c r="AB10" s="78" t="str">
        <f>IF($R10&lt;&gt;"OK","",IF($AA10=0,0,CEILING(MAX($AA10,IF($Q10="",0,$Q10)),IF(OR($P10="",$P10&lt;=0),1,$P10))))</f>
        <v/>
      </c>
      <c r="AC10" s="78" t="str">
        <f>IF($R10&lt;&gt;"OK","",$AB10*$D10)</f>
        <v/>
      </c>
      <c r="AD10" s="93" t="str">
        <f>IF($R10&lt;&gt;"OK","",INDEX(Setup!$D$25:$D$29,MATCH($O10,Setup!$B$25:$B$29,0)))</f>
        <v/>
      </c>
      <c r="AE10" s="93" t="str">
        <f>IF($R10&lt;&gt;"OK","",$AD10-$N10)</f>
        <v/>
      </c>
      <c r="AF10" s="79" t="str">
        <f>IF($R10&lt;&gt;"OK","",IF($AB10=0,"No order needed",IF($AE10&gt;=$AS10,"Order by the deadline",IF(AND($O10&lt;&gt;"Domestic",Setup!$D$27-$N10&gt;=$AS10),"Late by this mode: fly it",IF(Setup!$D$28-$N10&gt;=$AS10,"Late: Express courier only",IF($AG10&lt;Setup!$C$5,"Tight: lands before Black Friday",IF(AND($O10&lt;&gt;"Domestic",$AT10&lt;Setup!$C$5),"Tight: by Air lands before Black Friday",IF($AS10+$N10+Setup!$C$28+Setup!$C$11&lt;Setup!$C$5,"Tight: by Express lands before Black Friday","Too late: ration"))))))))</f>
        <v/>
      </c>
      <c r="AG10" s="93" t="str">
        <f>IF($R10&lt;&gt;"OK","",IF($AB10=0,"",$AS10+$N10+INDEX(Setup!$C$25:$C$29,MATCH($O10,Setup!$B$25:$B$29,0))+Setup!$C$11))</f>
        <v/>
      </c>
      <c r="AH10" s="93" t="str">
        <f>IF($R10&lt;&gt;"OK","",IF($F10&lt;=0,"",INT(IF($K10&lt;($F10*MAX(0,(Setup!$C$5-Setup!$C$7)-Setup!$C$4)),Setup!$C$4+$K10/$F10,IF($K10&lt;($F10*MAX(0,(Setup!$C$5-Setup!$C$7)-Setup!$C$4))+($F10*Setup!$C$8*MAX(0,Setup!$C$5-MAX((Setup!$C$5-Setup!$C$7),Setup!$C$4))),MAX((Setup!$C$5-Setup!$C$7),Setup!$C$4)+($K10-($F10*MAX(0,(Setup!$C$5-Setup!$C$7)-Setup!$C$4)))/($F10*Setup!$C$8),IF(AND($W10&gt;0,$K10&lt;($F10*MAX(0,(Setup!$C$5-Setup!$C$7)-Setup!$C$4))+($F10*Setup!$C$8*MAX(0,Setup!$C$5-MAX((Setup!$C$5-Setup!$C$7),Setup!$C$4)))+($W10/4*MAX(0,Setup!$C$5+4-MAX(Setup!$C$5,Setup!$C$4)))),MAX(Setup!$C$5,Setup!$C$4)+($K10-($F10*MAX(0,(Setup!$C$5-Setup!$C$7)-Setup!$C$4))-($F10*Setup!$C$8*MAX(0,Setup!$C$5-MAX((Setup!$C$5-Setup!$C$7),Setup!$C$4))))/($W10/4),MAX(Setup!$C$5+4,Setup!$C$4)+($K10-($F10*MAX(0,(Setup!$C$5-Setup!$C$7)-Setup!$C$4))-($F10*Setup!$C$8*MAX(0,Setup!$C$5-MAX((Setup!$C$5-Setup!$C$7),Setup!$C$4)))-($W10/4*MAX(0,Setup!$C$5+4-MAX(Setup!$C$5,Setup!$C$4))))/($F10*Setup!$C$14)))))))</f>
        <v/>
      </c>
      <c r="AI10" s="79" t="str">
        <f>IF($R10&lt;&gt;"OK","",IF(AND($L10&lt;&gt;"",$L10&gt;0,ISNUMBER($AH10),$M10&gt;$AH10),"Runs out before the incoming delivery arrives",IF($AB10=0,"OK",IF($K10+IF(AND($L10&lt;&gt;"",$L10&gt;0),IF($M10&lt;=$AG10,$L10,0),0)&lt;($F10*MAX(0,MIN($AG10,(Setup!$C$5-Setup!$C$7))-Setup!$C$4)+$F10*Setup!$C$8*MAX(0,MIN($AG10,Setup!$C$5)-MAX((Setup!$C$5-Setup!$C$7),Setup!$C$4))+$W10/4*MAX(0,MIN($AG10,Setup!$C$5+4)-MAX(Setup!$C$5,Setup!$C$4))+$F10*Setup!$C$14*MAX(0,$AG10-MAX(Setup!$C$5+4,Setup!$C$4))),"Runs out before this order can land","OK"))))</f>
        <v/>
      </c>
      <c r="AJ10" s="78" t="str">
        <f>IF($R10&lt;&gt;"OK","",IF($AB10=0,0,IF($AL10="Too slow: send it all fast",$AB10,$AR10)))</f>
        <v/>
      </c>
      <c r="AK10" s="78" t="str">
        <f>IF($R10&lt;&gt;"OK","",$AB10-$AJ10)</f>
        <v/>
      </c>
      <c r="AL10" s="78" t="str">
        <f>IF($R10&lt;&gt;"OK","",IF($AB10=0,"",IF($AB10-$AR10=0,"Nothing left over",IF($O10="Domestic",IF($AG10&lt;=Setup!$C$6+Setup!$C$20+1,"Later units can go by Domestic","Too slow: send it all fast"),IF($AS10+$N10+Setup!$C$25+Setup!$C$11&lt;=Setup!$C$6+Setup!$C$20+1,"Later units can go by Ocean long",IF($AS10+$N10+Setup!$C$26+Setup!$C$11&lt;=Setup!$C$6+Setup!$C$20+1,"Later units can go by Ocean short",IF($AS10+$N10+Setup!$C$27+Setup!$C$11&lt;=Setup!$C$6+Setup!$C$20+1,"Later units can go by Air",IF($AS10+$N10+Setup!$C$28+Setup!$C$11&lt;=Setup!$C$6+Setup!$C$20+1,"Later units can go by Express","Too slow: send it all fast"))))))))</f>
        <v/>
      </c>
      <c r="AM10" s="94" t="str">
        <f>IF($R10&lt;&gt;"OK","",$E10-$D10)</f>
        <v/>
      </c>
      <c r="AN10" s="95" t="str">
        <f>IF($R10&lt;&gt;"OK","",($E10-$D10)/$D10)</f>
        <v/>
      </c>
      <c r="AO10" s="95" t="str">
        <f>IF($R10&lt;&gt;"OK","",IF($AB10&gt;0,$AN10+IF($C10="Evergreen",1000,0),""))</f>
        <v/>
      </c>
      <c r="AP10" s="78" t="str">
        <f>IF(OR($R10&lt;&gt;"OK",$AO10=""),"",COUNTIF($AO$6:$AO$205,"&gt;"&amp;$AO10)+COUNTIF($AO$6:$AO10,$AO10))</f>
        <v/>
      </c>
      <c r="AQ10" s="78" t="str">
        <f>IF(OR($R10&lt;&gt;"OK",$AP10=""),"",INDEX('Buy list'!$G$5:$G$204,$AP10))</f>
        <v/>
      </c>
      <c r="AR10" s="78" t="str">
        <f>IF($R10&lt;&gt;"OK","",IF($AB10=0,0,MIN($AB10,CEILING(MAX(0,($F10*MAX(0,MIN((Setup!$C$6+1+Setup!$C$20),(Setup!$C$5-Setup!$C$7))-Setup!$C$4)+$F10*Setup!$C$8*MAX(0,MIN((Setup!$C$6+1+Setup!$C$20),Setup!$C$5)-MAX((Setup!$C$5-Setup!$C$7),Setup!$C$4))+$W10/4*MAX(0,MIN((Setup!$C$6+1+Setup!$C$20),Setup!$C$5+4)-MAX(Setup!$C$5,Setup!$C$4))+$F10*Setup!$C$14*MAX(0,(Setup!$C$6+1+Setup!$C$20)-MAX(Setup!$C$5+4,Setup!$C$4)))+$Y10-$K10-IF(AND($L10&lt;&gt;"",$L10&gt;0),IF($M10&lt;=Setup!$C$10,$L10,0),0)),IF(OR($P10="",$P10&lt;=0),1,$P10)))))</f>
        <v/>
      </c>
      <c r="AS10" s="96" t="str">
        <f>IF($R10&lt;&gt;"OK","",IF(AND($O10&lt;&gt;"Domestic",ISNUMBER(Setup!$C$22),Setup!$C$22&gt;Setup!$C$4),Setup!$C$22,Setup!$C$4))</f>
        <v/>
      </c>
      <c r="AT10" s="96" t="str">
        <f>IF($R10&lt;&gt;"OK","",IF($AB10=0,"",IF($O10="Domestic",$AG10,$AS10+$N10+Setup!$C$27+Setup!$C$11)))</f>
        <v/>
      </c>
    </row>
    <row r="11" ht="15" customHeight="1" s="46">
      <c r="A11" s="70" t="n"/>
      <c r="B11" s="70" t="n"/>
      <c r="C11" s="70" t="n"/>
      <c r="D11" s="85" t="n"/>
      <c r="E11" s="85" t="n"/>
      <c r="F11" s="86" t="n"/>
      <c r="G11" s="87" t="n"/>
      <c r="H11" s="88" t="n"/>
      <c r="I11" s="89" t="n"/>
      <c r="J11" s="90" t="n"/>
      <c r="K11" s="87" t="n"/>
      <c r="L11" s="87" t="n"/>
      <c r="M11" s="91" t="n"/>
      <c r="N11" s="92" t="n"/>
      <c r="O11" s="70" t="n"/>
      <c r="P11" s="92" t="n"/>
      <c r="Q11" s="87" t="n"/>
      <c r="R11" s="79" t="str">
        <f>IF($A11="","",IF($C11="","Missing: type",IF(OR($D11="",$D11&lt;=0),"Missing: unit cost",IF($E11="","Missing: unit price",IF($F11="","Missing: daily sales",IF($K11="","Missing: on hand",IF($N11="","Missing: production days",IF($O11="","Missing: freight mode",IF(ISNA(MATCH($O11,Setup!$B$25:$B$29,0)),"Unknown freight mode",IF(AND($L11&lt;&gt;"",$L11&gt;0,$M11=""),"Missing: on-order arrival date","OK"))))))))))</f>
        <v/>
      </c>
      <c r="S11" s="78" t="str">
        <f>IF($R11&lt;&gt;"OK","",IF($G11="","",ROUND($G11/IF(OR($H11="",$H11&lt;=0),4,$H11)*4,0)))</f>
        <v/>
      </c>
      <c r="T11" s="78" t="str">
        <f>IF($R11&lt;&gt;"OK","",ROUND(IF($G11="",$F11*4*Setup!$C$19,$G11/IF(OR($H11="",$H11&lt;=0),4,$H11)*4*(1+IF($I11="",Setup!$C$16,$I11)))*IF($J11="",1,$J11),0))</f>
        <v/>
      </c>
      <c r="U11" s="78" t="str">
        <f>IF($R11&lt;&gt;"OK","",ROUND($T11*Setup!$C$17,0))</f>
        <v/>
      </c>
      <c r="V11" s="78" t="str">
        <f>IF($R11&lt;&gt;"OK","",ROUND($T11*Setup!$C$18,0))</f>
        <v/>
      </c>
      <c r="W11" s="78" t="str">
        <f>IF($R11&lt;&gt;"OK","",IF($C11="Evergreen",$V11,IF($C11="Seasonal or new",$U11,$T11)))</f>
        <v/>
      </c>
      <c r="X11" s="78" t="str">
        <f>IF($R11&lt;&gt;"OK","",ROUND(($F11*MAX(0,MIN(Setup!$C$13+1,(Setup!$C$5-Setup!$C$7))-Setup!$C$4)+$F11*Setup!$C$8*MAX(0,MIN(Setup!$C$13+1,Setup!$C$5)-MAX((Setup!$C$5-Setup!$C$7),Setup!$C$4))+$W11/4*MAX(0,MIN(Setup!$C$13+1,Setup!$C$5+4)-MAX(Setup!$C$5,Setup!$C$4))+$F11*Setup!$C$14*MAX(0,Setup!$C$13+1-MAX(Setup!$C$5+4,Setup!$C$4))),0))</f>
        <v/>
      </c>
      <c r="Y11" s="78" t="str">
        <f>IF($R11&lt;&gt;"OK","",ROUND($F11*Setup!$C$15,0))</f>
        <v/>
      </c>
      <c r="Z11" s="78" t="str">
        <f>IF($R11&lt;&gt;"OK","",IF(AND($L11&lt;&gt;"",$L11&gt;0),IF($M11&lt;=Setup!$C$13,$L11,0),0))</f>
        <v/>
      </c>
      <c r="AA11" s="78" t="str">
        <f>IF($R11&lt;&gt;"OK","",MAX(0,$X11+$Y11-$K11-$Z11))</f>
        <v/>
      </c>
      <c r="AB11" s="78" t="str">
        <f>IF($R11&lt;&gt;"OK","",IF($AA11=0,0,CEILING(MAX($AA11,IF($Q11="",0,$Q11)),IF(OR($P11="",$P11&lt;=0),1,$P11))))</f>
        <v/>
      </c>
      <c r="AC11" s="78" t="str">
        <f>IF($R11&lt;&gt;"OK","",$AB11*$D11)</f>
        <v/>
      </c>
      <c r="AD11" s="93" t="str">
        <f>IF($R11&lt;&gt;"OK","",INDEX(Setup!$D$25:$D$29,MATCH($O11,Setup!$B$25:$B$29,0)))</f>
        <v/>
      </c>
      <c r="AE11" s="93" t="str">
        <f>IF($R11&lt;&gt;"OK","",$AD11-$N11)</f>
        <v/>
      </c>
      <c r="AF11" s="79" t="str">
        <f>IF($R11&lt;&gt;"OK","",IF($AB11=0,"No order needed",IF($AE11&gt;=$AS11,"Order by the deadline",IF(AND($O11&lt;&gt;"Domestic",Setup!$D$27-$N11&gt;=$AS11),"Late by this mode: fly it",IF(Setup!$D$28-$N11&gt;=$AS11,"Late: Express courier only",IF($AG11&lt;Setup!$C$5,"Tight: lands before Black Friday",IF(AND($O11&lt;&gt;"Domestic",$AT11&lt;Setup!$C$5),"Tight: by Air lands before Black Friday",IF($AS11+$N11+Setup!$C$28+Setup!$C$11&lt;Setup!$C$5,"Tight: by Express lands before Black Friday","Too late: ration"))))))))</f>
        <v/>
      </c>
      <c r="AG11" s="93" t="str">
        <f>IF($R11&lt;&gt;"OK","",IF($AB11=0,"",$AS11+$N11+INDEX(Setup!$C$25:$C$29,MATCH($O11,Setup!$B$25:$B$29,0))+Setup!$C$11))</f>
        <v/>
      </c>
      <c r="AH11" s="93" t="str">
        <f>IF($R11&lt;&gt;"OK","",IF($F11&lt;=0,"",INT(IF($K11&lt;($F11*MAX(0,(Setup!$C$5-Setup!$C$7)-Setup!$C$4)),Setup!$C$4+$K11/$F11,IF($K11&lt;($F11*MAX(0,(Setup!$C$5-Setup!$C$7)-Setup!$C$4))+($F11*Setup!$C$8*MAX(0,Setup!$C$5-MAX((Setup!$C$5-Setup!$C$7),Setup!$C$4))),MAX((Setup!$C$5-Setup!$C$7),Setup!$C$4)+($K11-($F11*MAX(0,(Setup!$C$5-Setup!$C$7)-Setup!$C$4)))/($F11*Setup!$C$8),IF(AND($W11&gt;0,$K11&lt;($F11*MAX(0,(Setup!$C$5-Setup!$C$7)-Setup!$C$4))+($F11*Setup!$C$8*MAX(0,Setup!$C$5-MAX((Setup!$C$5-Setup!$C$7),Setup!$C$4)))+($W11/4*MAX(0,Setup!$C$5+4-MAX(Setup!$C$5,Setup!$C$4)))),MAX(Setup!$C$5,Setup!$C$4)+($K11-($F11*MAX(0,(Setup!$C$5-Setup!$C$7)-Setup!$C$4))-($F11*Setup!$C$8*MAX(0,Setup!$C$5-MAX((Setup!$C$5-Setup!$C$7),Setup!$C$4))))/($W11/4),MAX(Setup!$C$5+4,Setup!$C$4)+($K11-($F11*MAX(0,(Setup!$C$5-Setup!$C$7)-Setup!$C$4))-($F11*Setup!$C$8*MAX(0,Setup!$C$5-MAX((Setup!$C$5-Setup!$C$7),Setup!$C$4)))-($W11/4*MAX(0,Setup!$C$5+4-MAX(Setup!$C$5,Setup!$C$4))))/($F11*Setup!$C$14)))))))</f>
        <v/>
      </c>
      <c r="AI11" s="79" t="str">
        <f>IF($R11&lt;&gt;"OK","",IF(AND($L11&lt;&gt;"",$L11&gt;0,ISNUMBER($AH11),$M11&gt;$AH11),"Runs out before the incoming delivery arrives",IF($AB11=0,"OK",IF($K11+IF(AND($L11&lt;&gt;"",$L11&gt;0),IF($M11&lt;=$AG11,$L11,0),0)&lt;($F11*MAX(0,MIN($AG11,(Setup!$C$5-Setup!$C$7))-Setup!$C$4)+$F11*Setup!$C$8*MAX(0,MIN($AG11,Setup!$C$5)-MAX((Setup!$C$5-Setup!$C$7),Setup!$C$4))+$W11/4*MAX(0,MIN($AG11,Setup!$C$5+4)-MAX(Setup!$C$5,Setup!$C$4))+$F11*Setup!$C$14*MAX(0,$AG11-MAX(Setup!$C$5+4,Setup!$C$4))),"Runs out before this order can land","OK"))))</f>
        <v/>
      </c>
      <c r="AJ11" s="78" t="str">
        <f>IF($R11&lt;&gt;"OK","",IF($AB11=0,0,IF($AL11="Too slow: send it all fast",$AB11,$AR11)))</f>
        <v/>
      </c>
      <c r="AK11" s="78" t="str">
        <f>IF($R11&lt;&gt;"OK","",$AB11-$AJ11)</f>
        <v/>
      </c>
      <c r="AL11" s="78" t="str">
        <f>IF($R11&lt;&gt;"OK","",IF($AB11=0,"",IF($AB11-$AR11=0,"Nothing left over",IF($O11="Domestic",IF($AG11&lt;=Setup!$C$6+Setup!$C$20+1,"Later units can go by Domestic","Too slow: send it all fast"),IF($AS11+$N11+Setup!$C$25+Setup!$C$11&lt;=Setup!$C$6+Setup!$C$20+1,"Later units can go by Ocean long",IF($AS11+$N11+Setup!$C$26+Setup!$C$11&lt;=Setup!$C$6+Setup!$C$20+1,"Later units can go by Ocean short",IF($AS11+$N11+Setup!$C$27+Setup!$C$11&lt;=Setup!$C$6+Setup!$C$20+1,"Later units can go by Air",IF($AS11+$N11+Setup!$C$28+Setup!$C$11&lt;=Setup!$C$6+Setup!$C$20+1,"Later units can go by Express","Too slow: send it all fast"))))))))</f>
        <v/>
      </c>
      <c r="AM11" s="94" t="str">
        <f>IF($R11&lt;&gt;"OK","",$E11-$D11)</f>
        <v/>
      </c>
      <c r="AN11" s="95" t="str">
        <f>IF($R11&lt;&gt;"OK","",($E11-$D11)/$D11)</f>
        <v/>
      </c>
      <c r="AO11" s="95" t="str">
        <f>IF($R11&lt;&gt;"OK","",IF($AB11&gt;0,$AN11+IF($C11="Evergreen",1000,0),""))</f>
        <v/>
      </c>
      <c r="AP11" s="78" t="str">
        <f>IF(OR($R11&lt;&gt;"OK",$AO11=""),"",COUNTIF($AO$6:$AO$205,"&gt;"&amp;$AO11)+COUNTIF($AO$6:$AO11,$AO11))</f>
        <v/>
      </c>
      <c r="AQ11" s="78" t="str">
        <f>IF(OR($R11&lt;&gt;"OK",$AP11=""),"",INDEX('Buy list'!$G$5:$G$204,$AP11))</f>
        <v/>
      </c>
      <c r="AR11" s="78" t="str">
        <f>IF($R11&lt;&gt;"OK","",IF($AB11=0,0,MIN($AB11,CEILING(MAX(0,($F11*MAX(0,MIN((Setup!$C$6+1+Setup!$C$20),(Setup!$C$5-Setup!$C$7))-Setup!$C$4)+$F11*Setup!$C$8*MAX(0,MIN((Setup!$C$6+1+Setup!$C$20),Setup!$C$5)-MAX((Setup!$C$5-Setup!$C$7),Setup!$C$4))+$W11/4*MAX(0,MIN((Setup!$C$6+1+Setup!$C$20),Setup!$C$5+4)-MAX(Setup!$C$5,Setup!$C$4))+$F11*Setup!$C$14*MAX(0,(Setup!$C$6+1+Setup!$C$20)-MAX(Setup!$C$5+4,Setup!$C$4)))+$Y11-$K11-IF(AND($L11&lt;&gt;"",$L11&gt;0),IF($M11&lt;=Setup!$C$10,$L11,0),0)),IF(OR($P11="",$P11&lt;=0),1,$P11)))))</f>
        <v/>
      </c>
      <c r="AS11" s="96" t="str">
        <f>IF($R11&lt;&gt;"OK","",IF(AND($O11&lt;&gt;"Domestic",ISNUMBER(Setup!$C$22),Setup!$C$22&gt;Setup!$C$4),Setup!$C$22,Setup!$C$4))</f>
        <v/>
      </c>
      <c r="AT11" s="96" t="str">
        <f>IF($R11&lt;&gt;"OK","",IF($AB11=0,"",IF($O11="Domestic",$AG11,$AS11+$N11+Setup!$C$27+Setup!$C$11)))</f>
        <v/>
      </c>
    </row>
    <row r="12" ht="15" customHeight="1" s="46">
      <c r="A12" s="70" t="n"/>
      <c r="B12" s="70" t="n"/>
      <c r="C12" s="70" t="n"/>
      <c r="D12" s="85" t="n"/>
      <c r="E12" s="85" t="n"/>
      <c r="F12" s="86" t="n"/>
      <c r="G12" s="87" t="n"/>
      <c r="H12" s="88" t="n"/>
      <c r="I12" s="89" t="n"/>
      <c r="J12" s="90" t="n"/>
      <c r="K12" s="87" t="n"/>
      <c r="L12" s="87" t="n"/>
      <c r="M12" s="91" t="n"/>
      <c r="N12" s="92" t="n"/>
      <c r="O12" s="70" t="n"/>
      <c r="P12" s="92" t="n"/>
      <c r="Q12" s="87" t="n"/>
      <c r="R12" s="79" t="str">
        <f>IF($A12="","",IF($C12="","Missing: type",IF(OR($D12="",$D12&lt;=0),"Missing: unit cost",IF($E12="","Missing: unit price",IF($F12="","Missing: daily sales",IF($K12="","Missing: on hand",IF($N12="","Missing: production days",IF($O12="","Missing: freight mode",IF(ISNA(MATCH($O12,Setup!$B$25:$B$29,0)),"Unknown freight mode",IF(AND($L12&lt;&gt;"",$L12&gt;0,$M12=""),"Missing: on-order arrival date","OK"))))))))))</f>
        <v/>
      </c>
      <c r="S12" s="78" t="str">
        <f>IF($R12&lt;&gt;"OK","",IF($G12="","",ROUND($G12/IF(OR($H12="",$H12&lt;=0),4,$H12)*4,0)))</f>
        <v/>
      </c>
      <c r="T12" s="78" t="str">
        <f>IF($R12&lt;&gt;"OK","",ROUND(IF($G12="",$F12*4*Setup!$C$19,$G12/IF(OR($H12="",$H12&lt;=0),4,$H12)*4*(1+IF($I12="",Setup!$C$16,$I12)))*IF($J12="",1,$J12),0))</f>
        <v/>
      </c>
      <c r="U12" s="78" t="str">
        <f>IF($R12&lt;&gt;"OK","",ROUND($T12*Setup!$C$17,0))</f>
        <v/>
      </c>
      <c r="V12" s="78" t="str">
        <f>IF($R12&lt;&gt;"OK","",ROUND($T12*Setup!$C$18,0))</f>
        <v/>
      </c>
      <c r="W12" s="78" t="str">
        <f>IF($R12&lt;&gt;"OK","",IF($C12="Evergreen",$V12,IF($C12="Seasonal or new",$U12,$T12)))</f>
        <v/>
      </c>
      <c r="X12" s="78" t="str">
        <f>IF($R12&lt;&gt;"OK","",ROUND(($F12*MAX(0,MIN(Setup!$C$13+1,(Setup!$C$5-Setup!$C$7))-Setup!$C$4)+$F12*Setup!$C$8*MAX(0,MIN(Setup!$C$13+1,Setup!$C$5)-MAX((Setup!$C$5-Setup!$C$7),Setup!$C$4))+$W12/4*MAX(0,MIN(Setup!$C$13+1,Setup!$C$5+4)-MAX(Setup!$C$5,Setup!$C$4))+$F12*Setup!$C$14*MAX(0,Setup!$C$13+1-MAX(Setup!$C$5+4,Setup!$C$4))),0))</f>
        <v/>
      </c>
      <c r="Y12" s="78" t="str">
        <f>IF($R12&lt;&gt;"OK","",ROUND($F12*Setup!$C$15,0))</f>
        <v/>
      </c>
      <c r="Z12" s="78" t="str">
        <f>IF($R12&lt;&gt;"OK","",IF(AND($L12&lt;&gt;"",$L12&gt;0),IF($M12&lt;=Setup!$C$13,$L12,0),0))</f>
        <v/>
      </c>
      <c r="AA12" s="78" t="str">
        <f>IF($R12&lt;&gt;"OK","",MAX(0,$X12+$Y12-$K12-$Z12))</f>
        <v/>
      </c>
      <c r="AB12" s="78" t="str">
        <f>IF($R12&lt;&gt;"OK","",IF($AA12=0,0,CEILING(MAX($AA12,IF($Q12="",0,$Q12)),IF(OR($P12="",$P12&lt;=0),1,$P12))))</f>
        <v/>
      </c>
      <c r="AC12" s="78" t="str">
        <f>IF($R12&lt;&gt;"OK","",$AB12*$D12)</f>
        <v/>
      </c>
      <c r="AD12" s="93" t="str">
        <f>IF($R12&lt;&gt;"OK","",INDEX(Setup!$D$25:$D$29,MATCH($O12,Setup!$B$25:$B$29,0)))</f>
        <v/>
      </c>
      <c r="AE12" s="93" t="str">
        <f>IF($R12&lt;&gt;"OK","",$AD12-$N12)</f>
        <v/>
      </c>
      <c r="AF12" s="79" t="str">
        <f>IF($R12&lt;&gt;"OK","",IF($AB12=0,"No order needed",IF($AE12&gt;=$AS12,"Order by the deadline",IF(AND($O12&lt;&gt;"Domestic",Setup!$D$27-$N12&gt;=$AS12),"Late by this mode: fly it",IF(Setup!$D$28-$N12&gt;=$AS12,"Late: Express courier only",IF($AG12&lt;Setup!$C$5,"Tight: lands before Black Friday",IF(AND($O12&lt;&gt;"Domestic",$AT12&lt;Setup!$C$5),"Tight: by Air lands before Black Friday",IF($AS12+$N12+Setup!$C$28+Setup!$C$11&lt;Setup!$C$5,"Tight: by Express lands before Black Friday","Too late: ration"))))))))</f>
        <v/>
      </c>
      <c r="AG12" s="93" t="str">
        <f>IF($R12&lt;&gt;"OK","",IF($AB12=0,"",$AS12+$N12+INDEX(Setup!$C$25:$C$29,MATCH($O12,Setup!$B$25:$B$29,0))+Setup!$C$11))</f>
        <v/>
      </c>
      <c r="AH12" s="93" t="str">
        <f>IF($R12&lt;&gt;"OK","",IF($F12&lt;=0,"",INT(IF($K12&lt;($F12*MAX(0,(Setup!$C$5-Setup!$C$7)-Setup!$C$4)),Setup!$C$4+$K12/$F12,IF($K12&lt;($F12*MAX(0,(Setup!$C$5-Setup!$C$7)-Setup!$C$4))+($F12*Setup!$C$8*MAX(0,Setup!$C$5-MAX((Setup!$C$5-Setup!$C$7),Setup!$C$4))),MAX((Setup!$C$5-Setup!$C$7),Setup!$C$4)+($K12-($F12*MAX(0,(Setup!$C$5-Setup!$C$7)-Setup!$C$4)))/($F12*Setup!$C$8),IF(AND($W12&gt;0,$K12&lt;($F12*MAX(0,(Setup!$C$5-Setup!$C$7)-Setup!$C$4))+($F12*Setup!$C$8*MAX(0,Setup!$C$5-MAX((Setup!$C$5-Setup!$C$7),Setup!$C$4)))+($W12/4*MAX(0,Setup!$C$5+4-MAX(Setup!$C$5,Setup!$C$4)))),MAX(Setup!$C$5,Setup!$C$4)+($K12-($F12*MAX(0,(Setup!$C$5-Setup!$C$7)-Setup!$C$4))-($F12*Setup!$C$8*MAX(0,Setup!$C$5-MAX((Setup!$C$5-Setup!$C$7),Setup!$C$4))))/($W12/4),MAX(Setup!$C$5+4,Setup!$C$4)+($K12-($F12*MAX(0,(Setup!$C$5-Setup!$C$7)-Setup!$C$4))-($F12*Setup!$C$8*MAX(0,Setup!$C$5-MAX((Setup!$C$5-Setup!$C$7),Setup!$C$4)))-($W12/4*MAX(0,Setup!$C$5+4-MAX(Setup!$C$5,Setup!$C$4))))/($F12*Setup!$C$14)))))))</f>
        <v/>
      </c>
      <c r="AI12" s="79" t="str">
        <f>IF($R12&lt;&gt;"OK","",IF(AND($L12&lt;&gt;"",$L12&gt;0,ISNUMBER($AH12),$M12&gt;$AH12),"Runs out before the incoming delivery arrives",IF($AB12=0,"OK",IF($K12+IF(AND($L12&lt;&gt;"",$L12&gt;0),IF($M12&lt;=$AG12,$L12,0),0)&lt;($F12*MAX(0,MIN($AG12,(Setup!$C$5-Setup!$C$7))-Setup!$C$4)+$F12*Setup!$C$8*MAX(0,MIN($AG12,Setup!$C$5)-MAX((Setup!$C$5-Setup!$C$7),Setup!$C$4))+$W12/4*MAX(0,MIN($AG12,Setup!$C$5+4)-MAX(Setup!$C$5,Setup!$C$4))+$F12*Setup!$C$14*MAX(0,$AG12-MAX(Setup!$C$5+4,Setup!$C$4))),"Runs out before this order can land","OK"))))</f>
        <v/>
      </c>
      <c r="AJ12" s="78" t="str">
        <f>IF($R12&lt;&gt;"OK","",IF($AB12=0,0,IF($AL12="Too slow: send it all fast",$AB12,$AR12)))</f>
        <v/>
      </c>
      <c r="AK12" s="78" t="str">
        <f>IF($R12&lt;&gt;"OK","",$AB12-$AJ12)</f>
        <v/>
      </c>
      <c r="AL12" s="78" t="str">
        <f>IF($R12&lt;&gt;"OK","",IF($AB12=0,"",IF($AB12-$AR12=0,"Nothing left over",IF($O12="Domestic",IF($AG12&lt;=Setup!$C$6+Setup!$C$20+1,"Later units can go by Domestic","Too slow: send it all fast"),IF($AS12+$N12+Setup!$C$25+Setup!$C$11&lt;=Setup!$C$6+Setup!$C$20+1,"Later units can go by Ocean long",IF($AS12+$N12+Setup!$C$26+Setup!$C$11&lt;=Setup!$C$6+Setup!$C$20+1,"Later units can go by Ocean short",IF($AS12+$N12+Setup!$C$27+Setup!$C$11&lt;=Setup!$C$6+Setup!$C$20+1,"Later units can go by Air",IF($AS12+$N12+Setup!$C$28+Setup!$C$11&lt;=Setup!$C$6+Setup!$C$20+1,"Later units can go by Express","Too slow: send it all fast"))))))))</f>
        <v/>
      </c>
      <c r="AM12" s="94" t="str">
        <f>IF($R12&lt;&gt;"OK","",$E12-$D12)</f>
        <v/>
      </c>
      <c r="AN12" s="95" t="str">
        <f>IF($R12&lt;&gt;"OK","",($E12-$D12)/$D12)</f>
        <v/>
      </c>
      <c r="AO12" s="95" t="str">
        <f>IF($R12&lt;&gt;"OK","",IF($AB12&gt;0,$AN12+IF($C12="Evergreen",1000,0),""))</f>
        <v/>
      </c>
      <c r="AP12" s="78" t="str">
        <f>IF(OR($R12&lt;&gt;"OK",$AO12=""),"",COUNTIF($AO$6:$AO$205,"&gt;"&amp;$AO12)+COUNTIF($AO$6:$AO12,$AO12))</f>
        <v/>
      </c>
      <c r="AQ12" s="78" t="str">
        <f>IF(OR($R12&lt;&gt;"OK",$AP12=""),"",INDEX('Buy list'!$G$5:$G$204,$AP12))</f>
        <v/>
      </c>
      <c r="AR12" s="78" t="str">
        <f>IF($R12&lt;&gt;"OK","",IF($AB12=0,0,MIN($AB12,CEILING(MAX(0,($F12*MAX(0,MIN((Setup!$C$6+1+Setup!$C$20),(Setup!$C$5-Setup!$C$7))-Setup!$C$4)+$F12*Setup!$C$8*MAX(0,MIN((Setup!$C$6+1+Setup!$C$20),Setup!$C$5)-MAX((Setup!$C$5-Setup!$C$7),Setup!$C$4))+$W12/4*MAX(0,MIN((Setup!$C$6+1+Setup!$C$20),Setup!$C$5+4)-MAX(Setup!$C$5,Setup!$C$4))+$F12*Setup!$C$14*MAX(0,(Setup!$C$6+1+Setup!$C$20)-MAX(Setup!$C$5+4,Setup!$C$4)))+$Y12-$K12-IF(AND($L12&lt;&gt;"",$L12&gt;0),IF($M12&lt;=Setup!$C$10,$L12,0),0)),IF(OR($P12="",$P12&lt;=0),1,$P12)))))</f>
        <v/>
      </c>
      <c r="AS12" s="96" t="str">
        <f>IF($R12&lt;&gt;"OK","",IF(AND($O12&lt;&gt;"Domestic",ISNUMBER(Setup!$C$22),Setup!$C$22&gt;Setup!$C$4),Setup!$C$22,Setup!$C$4))</f>
        <v/>
      </c>
      <c r="AT12" s="96" t="str">
        <f>IF($R12&lt;&gt;"OK","",IF($AB12=0,"",IF($O12="Domestic",$AG12,$AS12+$N12+Setup!$C$27+Setup!$C$11)))</f>
        <v/>
      </c>
    </row>
    <row r="13" ht="15" customHeight="1" s="46">
      <c r="A13" s="70" t="n"/>
      <c r="B13" s="70" t="n"/>
      <c r="C13" s="70" t="n"/>
      <c r="D13" s="85" t="n"/>
      <c r="E13" s="85" t="n"/>
      <c r="F13" s="86" t="n"/>
      <c r="G13" s="87" t="n"/>
      <c r="H13" s="88" t="n"/>
      <c r="I13" s="89" t="n"/>
      <c r="J13" s="90" t="n"/>
      <c r="K13" s="87" t="n"/>
      <c r="L13" s="87" t="n"/>
      <c r="M13" s="91" t="n"/>
      <c r="N13" s="92" t="n"/>
      <c r="O13" s="70" t="n"/>
      <c r="P13" s="92" t="n"/>
      <c r="Q13" s="87" t="n"/>
      <c r="R13" s="79" t="str">
        <f>IF($A13="","",IF($C13="","Missing: type",IF(OR($D13="",$D13&lt;=0),"Missing: unit cost",IF($E13="","Missing: unit price",IF($F13="","Missing: daily sales",IF($K13="","Missing: on hand",IF($N13="","Missing: production days",IF($O13="","Missing: freight mode",IF(ISNA(MATCH($O13,Setup!$B$25:$B$29,0)),"Unknown freight mode",IF(AND($L13&lt;&gt;"",$L13&gt;0,$M13=""),"Missing: on-order arrival date","OK"))))))))))</f>
        <v/>
      </c>
      <c r="S13" s="78" t="str">
        <f>IF($R13&lt;&gt;"OK","",IF($G13="","",ROUND($G13/IF(OR($H13="",$H13&lt;=0),4,$H13)*4,0)))</f>
        <v/>
      </c>
      <c r="T13" s="78" t="str">
        <f>IF($R13&lt;&gt;"OK","",ROUND(IF($G13="",$F13*4*Setup!$C$19,$G13/IF(OR($H13="",$H13&lt;=0),4,$H13)*4*(1+IF($I13="",Setup!$C$16,$I13)))*IF($J13="",1,$J13),0))</f>
        <v/>
      </c>
      <c r="U13" s="78" t="str">
        <f>IF($R13&lt;&gt;"OK","",ROUND($T13*Setup!$C$17,0))</f>
        <v/>
      </c>
      <c r="V13" s="78" t="str">
        <f>IF($R13&lt;&gt;"OK","",ROUND($T13*Setup!$C$18,0))</f>
        <v/>
      </c>
      <c r="W13" s="78" t="str">
        <f>IF($R13&lt;&gt;"OK","",IF($C13="Evergreen",$V13,IF($C13="Seasonal or new",$U13,$T13)))</f>
        <v/>
      </c>
      <c r="X13" s="78" t="str">
        <f>IF($R13&lt;&gt;"OK","",ROUND(($F13*MAX(0,MIN(Setup!$C$13+1,(Setup!$C$5-Setup!$C$7))-Setup!$C$4)+$F13*Setup!$C$8*MAX(0,MIN(Setup!$C$13+1,Setup!$C$5)-MAX((Setup!$C$5-Setup!$C$7),Setup!$C$4))+$W13/4*MAX(0,MIN(Setup!$C$13+1,Setup!$C$5+4)-MAX(Setup!$C$5,Setup!$C$4))+$F13*Setup!$C$14*MAX(0,Setup!$C$13+1-MAX(Setup!$C$5+4,Setup!$C$4))),0))</f>
        <v/>
      </c>
      <c r="Y13" s="78" t="str">
        <f>IF($R13&lt;&gt;"OK","",ROUND($F13*Setup!$C$15,0))</f>
        <v/>
      </c>
      <c r="Z13" s="78" t="str">
        <f>IF($R13&lt;&gt;"OK","",IF(AND($L13&lt;&gt;"",$L13&gt;0),IF($M13&lt;=Setup!$C$13,$L13,0),0))</f>
        <v/>
      </c>
      <c r="AA13" s="78" t="str">
        <f>IF($R13&lt;&gt;"OK","",MAX(0,$X13+$Y13-$K13-$Z13))</f>
        <v/>
      </c>
      <c r="AB13" s="78" t="str">
        <f>IF($R13&lt;&gt;"OK","",IF($AA13=0,0,CEILING(MAX($AA13,IF($Q13="",0,$Q13)),IF(OR($P13="",$P13&lt;=0),1,$P13))))</f>
        <v/>
      </c>
      <c r="AC13" s="78" t="str">
        <f>IF($R13&lt;&gt;"OK","",$AB13*$D13)</f>
        <v/>
      </c>
      <c r="AD13" s="93" t="str">
        <f>IF($R13&lt;&gt;"OK","",INDEX(Setup!$D$25:$D$29,MATCH($O13,Setup!$B$25:$B$29,0)))</f>
        <v/>
      </c>
      <c r="AE13" s="93" t="str">
        <f>IF($R13&lt;&gt;"OK","",$AD13-$N13)</f>
        <v/>
      </c>
      <c r="AF13" s="79" t="str">
        <f>IF($R13&lt;&gt;"OK","",IF($AB13=0,"No order needed",IF($AE13&gt;=$AS13,"Order by the deadline",IF(AND($O13&lt;&gt;"Domestic",Setup!$D$27-$N13&gt;=$AS13),"Late by this mode: fly it",IF(Setup!$D$28-$N13&gt;=$AS13,"Late: Express courier only",IF($AG13&lt;Setup!$C$5,"Tight: lands before Black Friday",IF(AND($O13&lt;&gt;"Domestic",$AT13&lt;Setup!$C$5),"Tight: by Air lands before Black Friday",IF($AS13+$N13+Setup!$C$28+Setup!$C$11&lt;Setup!$C$5,"Tight: by Express lands before Black Friday","Too late: ration"))))))))</f>
        <v/>
      </c>
      <c r="AG13" s="93" t="str">
        <f>IF($R13&lt;&gt;"OK","",IF($AB13=0,"",$AS13+$N13+INDEX(Setup!$C$25:$C$29,MATCH($O13,Setup!$B$25:$B$29,0))+Setup!$C$11))</f>
        <v/>
      </c>
      <c r="AH13" s="93" t="str">
        <f>IF($R13&lt;&gt;"OK","",IF($F13&lt;=0,"",INT(IF($K13&lt;($F13*MAX(0,(Setup!$C$5-Setup!$C$7)-Setup!$C$4)),Setup!$C$4+$K13/$F13,IF($K13&lt;($F13*MAX(0,(Setup!$C$5-Setup!$C$7)-Setup!$C$4))+($F13*Setup!$C$8*MAX(0,Setup!$C$5-MAX((Setup!$C$5-Setup!$C$7),Setup!$C$4))),MAX((Setup!$C$5-Setup!$C$7),Setup!$C$4)+($K13-($F13*MAX(0,(Setup!$C$5-Setup!$C$7)-Setup!$C$4)))/($F13*Setup!$C$8),IF(AND($W13&gt;0,$K13&lt;($F13*MAX(0,(Setup!$C$5-Setup!$C$7)-Setup!$C$4))+($F13*Setup!$C$8*MAX(0,Setup!$C$5-MAX((Setup!$C$5-Setup!$C$7),Setup!$C$4)))+($W13/4*MAX(0,Setup!$C$5+4-MAX(Setup!$C$5,Setup!$C$4)))),MAX(Setup!$C$5,Setup!$C$4)+($K13-($F13*MAX(0,(Setup!$C$5-Setup!$C$7)-Setup!$C$4))-($F13*Setup!$C$8*MAX(0,Setup!$C$5-MAX((Setup!$C$5-Setup!$C$7),Setup!$C$4))))/($W13/4),MAX(Setup!$C$5+4,Setup!$C$4)+($K13-($F13*MAX(0,(Setup!$C$5-Setup!$C$7)-Setup!$C$4))-($F13*Setup!$C$8*MAX(0,Setup!$C$5-MAX((Setup!$C$5-Setup!$C$7),Setup!$C$4)))-($W13/4*MAX(0,Setup!$C$5+4-MAX(Setup!$C$5,Setup!$C$4))))/($F13*Setup!$C$14)))))))</f>
        <v/>
      </c>
      <c r="AI13" s="79" t="str">
        <f>IF($R13&lt;&gt;"OK","",IF(AND($L13&lt;&gt;"",$L13&gt;0,ISNUMBER($AH13),$M13&gt;$AH13),"Runs out before the incoming delivery arrives",IF($AB13=0,"OK",IF($K13+IF(AND($L13&lt;&gt;"",$L13&gt;0),IF($M13&lt;=$AG13,$L13,0),0)&lt;($F13*MAX(0,MIN($AG13,(Setup!$C$5-Setup!$C$7))-Setup!$C$4)+$F13*Setup!$C$8*MAX(0,MIN($AG13,Setup!$C$5)-MAX((Setup!$C$5-Setup!$C$7),Setup!$C$4))+$W13/4*MAX(0,MIN($AG13,Setup!$C$5+4)-MAX(Setup!$C$5,Setup!$C$4))+$F13*Setup!$C$14*MAX(0,$AG13-MAX(Setup!$C$5+4,Setup!$C$4))),"Runs out before this order can land","OK"))))</f>
        <v/>
      </c>
      <c r="AJ13" s="78" t="str">
        <f>IF($R13&lt;&gt;"OK","",IF($AB13=0,0,IF($AL13="Too slow: send it all fast",$AB13,$AR13)))</f>
        <v/>
      </c>
      <c r="AK13" s="78" t="str">
        <f>IF($R13&lt;&gt;"OK","",$AB13-$AJ13)</f>
        <v/>
      </c>
      <c r="AL13" s="78" t="str">
        <f>IF($R13&lt;&gt;"OK","",IF($AB13=0,"",IF($AB13-$AR13=0,"Nothing left over",IF($O13="Domestic",IF($AG13&lt;=Setup!$C$6+Setup!$C$20+1,"Later units can go by Domestic","Too slow: send it all fast"),IF($AS13+$N13+Setup!$C$25+Setup!$C$11&lt;=Setup!$C$6+Setup!$C$20+1,"Later units can go by Ocean long",IF($AS13+$N13+Setup!$C$26+Setup!$C$11&lt;=Setup!$C$6+Setup!$C$20+1,"Later units can go by Ocean short",IF($AS13+$N13+Setup!$C$27+Setup!$C$11&lt;=Setup!$C$6+Setup!$C$20+1,"Later units can go by Air",IF($AS13+$N13+Setup!$C$28+Setup!$C$11&lt;=Setup!$C$6+Setup!$C$20+1,"Later units can go by Express","Too slow: send it all fast"))))))))</f>
        <v/>
      </c>
      <c r="AM13" s="94" t="str">
        <f>IF($R13&lt;&gt;"OK","",$E13-$D13)</f>
        <v/>
      </c>
      <c r="AN13" s="95" t="str">
        <f>IF($R13&lt;&gt;"OK","",($E13-$D13)/$D13)</f>
        <v/>
      </c>
      <c r="AO13" s="95" t="str">
        <f>IF($R13&lt;&gt;"OK","",IF($AB13&gt;0,$AN13+IF($C13="Evergreen",1000,0),""))</f>
        <v/>
      </c>
      <c r="AP13" s="78" t="str">
        <f>IF(OR($R13&lt;&gt;"OK",$AO13=""),"",COUNTIF($AO$6:$AO$205,"&gt;"&amp;$AO13)+COUNTIF($AO$6:$AO13,$AO13))</f>
        <v/>
      </c>
      <c r="AQ13" s="78" t="str">
        <f>IF(OR($R13&lt;&gt;"OK",$AP13=""),"",INDEX('Buy list'!$G$5:$G$204,$AP13))</f>
        <v/>
      </c>
      <c r="AR13" s="78" t="str">
        <f>IF($R13&lt;&gt;"OK","",IF($AB13=0,0,MIN($AB13,CEILING(MAX(0,($F13*MAX(0,MIN((Setup!$C$6+1+Setup!$C$20),(Setup!$C$5-Setup!$C$7))-Setup!$C$4)+$F13*Setup!$C$8*MAX(0,MIN((Setup!$C$6+1+Setup!$C$20),Setup!$C$5)-MAX((Setup!$C$5-Setup!$C$7),Setup!$C$4))+$W13/4*MAX(0,MIN((Setup!$C$6+1+Setup!$C$20),Setup!$C$5+4)-MAX(Setup!$C$5,Setup!$C$4))+$F13*Setup!$C$14*MAX(0,(Setup!$C$6+1+Setup!$C$20)-MAX(Setup!$C$5+4,Setup!$C$4)))+$Y13-$K13-IF(AND($L13&lt;&gt;"",$L13&gt;0),IF($M13&lt;=Setup!$C$10,$L13,0),0)),IF(OR($P13="",$P13&lt;=0),1,$P13)))))</f>
        <v/>
      </c>
      <c r="AS13" s="96" t="str">
        <f>IF($R13&lt;&gt;"OK","",IF(AND($O13&lt;&gt;"Domestic",ISNUMBER(Setup!$C$22),Setup!$C$22&gt;Setup!$C$4),Setup!$C$22,Setup!$C$4))</f>
        <v/>
      </c>
      <c r="AT13" s="96" t="str">
        <f>IF($R13&lt;&gt;"OK","",IF($AB13=0,"",IF($O13="Domestic",$AG13,$AS13+$N13+Setup!$C$27+Setup!$C$11)))</f>
        <v/>
      </c>
    </row>
    <row r="14" ht="15" customHeight="1" s="46">
      <c r="A14" s="70" t="n"/>
      <c r="B14" s="70" t="n"/>
      <c r="C14" s="70" t="n"/>
      <c r="D14" s="85" t="n"/>
      <c r="E14" s="85" t="n"/>
      <c r="F14" s="86" t="n"/>
      <c r="G14" s="87" t="n"/>
      <c r="H14" s="88" t="n"/>
      <c r="I14" s="89" t="n"/>
      <c r="J14" s="90" t="n"/>
      <c r="K14" s="87" t="n"/>
      <c r="L14" s="87" t="n"/>
      <c r="M14" s="91" t="n"/>
      <c r="N14" s="92" t="n"/>
      <c r="O14" s="70" t="n"/>
      <c r="P14" s="92" t="n"/>
      <c r="Q14" s="87" t="n"/>
      <c r="R14" s="79" t="str">
        <f>IF($A14="","",IF($C14="","Missing: type",IF(OR($D14="",$D14&lt;=0),"Missing: unit cost",IF($E14="","Missing: unit price",IF($F14="","Missing: daily sales",IF($K14="","Missing: on hand",IF($N14="","Missing: production days",IF($O14="","Missing: freight mode",IF(ISNA(MATCH($O14,Setup!$B$25:$B$29,0)),"Unknown freight mode",IF(AND($L14&lt;&gt;"",$L14&gt;0,$M14=""),"Missing: on-order arrival date","OK"))))))))))</f>
        <v/>
      </c>
      <c r="S14" s="78" t="str">
        <f>IF($R14&lt;&gt;"OK","",IF($G14="","",ROUND($G14/IF(OR($H14="",$H14&lt;=0),4,$H14)*4,0)))</f>
        <v/>
      </c>
      <c r="T14" s="78" t="str">
        <f>IF($R14&lt;&gt;"OK","",ROUND(IF($G14="",$F14*4*Setup!$C$19,$G14/IF(OR($H14="",$H14&lt;=0),4,$H14)*4*(1+IF($I14="",Setup!$C$16,$I14)))*IF($J14="",1,$J14),0))</f>
        <v/>
      </c>
      <c r="U14" s="78" t="str">
        <f>IF($R14&lt;&gt;"OK","",ROUND($T14*Setup!$C$17,0))</f>
        <v/>
      </c>
      <c r="V14" s="78" t="str">
        <f>IF($R14&lt;&gt;"OK","",ROUND($T14*Setup!$C$18,0))</f>
        <v/>
      </c>
      <c r="W14" s="78" t="str">
        <f>IF($R14&lt;&gt;"OK","",IF($C14="Evergreen",$V14,IF($C14="Seasonal or new",$U14,$T14)))</f>
        <v/>
      </c>
      <c r="X14" s="78" t="str">
        <f>IF($R14&lt;&gt;"OK","",ROUND(($F14*MAX(0,MIN(Setup!$C$13+1,(Setup!$C$5-Setup!$C$7))-Setup!$C$4)+$F14*Setup!$C$8*MAX(0,MIN(Setup!$C$13+1,Setup!$C$5)-MAX((Setup!$C$5-Setup!$C$7),Setup!$C$4))+$W14/4*MAX(0,MIN(Setup!$C$13+1,Setup!$C$5+4)-MAX(Setup!$C$5,Setup!$C$4))+$F14*Setup!$C$14*MAX(0,Setup!$C$13+1-MAX(Setup!$C$5+4,Setup!$C$4))),0))</f>
        <v/>
      </c>
      <c r="Y14" s="78" t="str">
        <f>IF($R14&lt;&gt;"OK","",ROUND($F14*Setup!$C$15,0))</f>
        <v/>
      </c>
      <c r="Z14" s="78" t="str">
        <f>IF($R14&lt;&gt;"OK","",IF(AND($L14&lt;&gt;"",$L14&gt;0),IF($M14&lt;=Setup!$C$13,$L14,0),0))</f>
        <v/>
      </c>
      <c r="AA14" s="78" t="str">
        <f>IF($R14&lt;&gt;"OK","",MAX(0,$X14+$Y14-$K14-$Z14))</f>
        <v/>
      </c>
      <c r="AB14" s="78" t="str">
        <f>IF($R14&lt;&gt;"OK","",IF($AA14=0,0,CEILING(MAX($AA14,IF($Q14="",0,$Q14)),IF(OR($P14="",$P14&lt;=0),1,$P14))))</f>
        <v/>
      </c>
      <c r="AC14" s="78" t="str">
        <f>IF($R14&lt;&gt;"OK","",$AB14*$D14)</f>
        <v/>
      </c>
      <c r="AD14" s="93" t="str">
        <f>IF($R14&lt;&gt;"OK","",INDEX(Setup!$D$25:$D$29,MATCH($O14,Setup!$B$25:$B$29,0)))</f>
        <v/>
      </c>
      <c r="AE14" s="93" t="str">
        <f>IF($R14&lt;&gt;"OK","",$AD14-$N14)</f>
        <v/>
      </c>
      <c r="AF14" s="79" t="str">
        <f>IF($R14&lt;&gt;"OK","",IF($AB14=0,"No order needed",IF($AE14&gt;=$AS14,"Order by the deadline",IF(AND($O14&lt;&gt;"Domestic",Setup!$D$27-$N14&gt;=$AS14),"Late by this mode: fly it",IF(Setup!$D$28-$N14&gt;=$AS14,"Late: Express courier only",IF($AG14&lt;Setup!$C$5,"Tight: lands before Black Friday",IF(AND($O14&lt;&gt;"Domestic",$AT14&lt;Setup!$C$5),"Tight: by Air lands before Black Friday",IF($AS14+$N14+Setup!$C$28+Setup!$C$11&lt;Setup!$C$5,"Tight: by Express lands before Black Friday","Too late: ration"))))))))</f>
        <v/>
      </c>
      <c r="AG14" s="93" t="str">
        <f>IF($R14&lt;&gt;"OK","",IF($AB14=0,"",$AS14+$N14+INDEX(Setup!$C$25:$C$29,MATCH($O14,Setup!$B$25:$B$29,0))+Setup!$C$11))</f>
        <v/>
      </c>
      <c r="AH14" s="93" t="str">
        <f>IF($R14&lt;&gt;"OK","",IF($F14&lt;=0,"",INT(IF($K14&lt;($F14*MAX(0,(Setup!$C$5-Setup!$C$7)-Setup!$C$4)),Setup!$C$4+$K14/$F14,IF($K14&lt;($F14*MAX(0,(Setup!$C$5-Setup!$C$7)-Setup!$C$4))+($F14*Setup!$C$8*MAX(0,Setup!$C$5-MAX((Setup!$C$5-Setup!$C$7),Setup!$C$4))),MAX((Setup!$C$5-Setup!$C$7),Setup!$C$4)+($K14-($F14*MAX(0,(Setup!$C$5-Setup!$C$7)-Setup!$C$4)))/($F14*Setup!$C$8),IF(AND($W14&gt;0,$K14&lt;($F14*MAX(0,(Setup!$C$5-Setup!$C$7)-Setup!$C$4))+($F14*Setup!$C$8*MAX(0,Setup!$C$5-MAX((Setup!$C$5-Setup!$C$7),Setup!$C$4)))+($W14/4*MAX(0,Setup!$C$5+4-MAX(Setup!$C$5,Setup!$C$4)))),MAX(Setup!$C$5,Setup!$C$4)+($K14-($F14*MAX(0,(Setup!$C$5-Setup!$C$7)-Setup!$C$4))-($F14*Setup!$C$8*MAX(0,Setup!$C$5-MAX((Setup!$C$5-Setup!$C$7),Setup!$C$4))))/($W14/4),MAX(Setup!$C$5+4,Setup!$C$4)+($K14-($F14*MAX(0,(Setup!$C$5-Setup!$C$7)-Setup!$C$4))-($F14*Setup!$C$8*MAX(0,Setup!$C$5-MAX((Setup!$C$5-Setup!$C$7),Setup!$C$4)))-($W14/4*MAX(0,Setup!$C$5+4-MAX(Setup!$C$5,Setup!$C$4))))/($F14*Setup!$C$14)))))))</f>
        <v/>
      </c>
      <c r="AI14" s="79" t="str">
        <f>IF($R14&lt;&gt;"OK","",IF(AND($L14&lt;&gt;"",$L14&gt;0,ISNUMBER($AH14),$M14&gt;$AH14),"Runs out before the incoming delivery arrives",IF($AB14=0,"OK",IF($K14+IF(AND($L14&lt;&gt;"",$L14&gt;0),IF($M14&lt;=$AG14,$L14,0),0)&lt;($F14*MAX(0,MIN($AG14,(Setup!$C$5-Setup!$C$7))-Setup!$C$4)+$F14*Setup!$C$8*MAX(0,MIN($AG14,Setup!$C$5)-MAX((Setup!$C$5-Setup!$C$7),Setup!$C$4))+$W14/4*MAX(0,MIN($AG14,Setup!$C$5+4)-MAX(Setup!$C$5,Setup!$C$4))+$F14*Setup!$C$14*MAX(0,$AG14-MAX(Setup!$C$5+4,Setup!$C$4))),"Runs out before this order can land","OK"))))</f>
        <v/>
      </c>
      <c r="AJ14" s="78" t="str">
        <f>IF($R14&lt;&gt;"OK","",IF($AB14=0,0,IF($AL14="Too slow: send it all fast",$AB14,$AR14)))</f>
        <v/>
      </c>
      <c r="AK14" s="78" t="str">
        <f>IF($R14&lt;&gt;"OK","",$AB14-$AJ14)</f>
        <v/>
      </c>
      <c r="AL14" s="78" t="str">
        <f>IF($R14&lt;&gt;"OK","",IF($AB14=0,"",IF($AB14-$AR14=0,"Nothing left over",IF($O14="Domestic",IF($AG14&lt;=Setup!$C$6+Setup!$C$20+1,"Later units can go by Domestic","Too slow: send it all fast"),IF($AS14+$N14+Setup!$C$25+Setup!$C$11&lt;=Setup!$C$6+Setup!$C$20+1,"Later units can go by Ocean long",IF($AS14+$N14+Setup!$C$26+Setup!$C$11&lt;=Setup!$C$6+Setup!$C$20+1,"Later units can go by Ocean short",IF($AS14+$N14+Setup!$C$27+Setup!$C$11&lt;=Setup!$C$6+Setup!$C$20+1,"Later units can go by Air",IF($AS14+$N14+Setup!$C$28+Setup!$C$11&lt;=Setup!$C$6+Setup!$C$20+1,"Later units can go by Express","Too slow: send it all fast"))))))))</f>
        <v/>
      </c>
      <c r="AM14" s="94" t="str">
        <f>IF($R14&lt;&gt;"OK","",$E14-$D14)</f>
        <v/>
      </c>
      <c r="AN14" s="95" t="str">
        <f>IF($R14&lt;&gt;"OK","",($E14-$D14)/$D14)</f>
        <v/>
      </c>
      <c r="AO14" s="95" t="str">
        <f>IF($R14&lt;&gt;"OK","",IF($AB14&gt;0,$AN14+IF($C14="Evergreen",1000,0),""))</f>
        <v/>
      </c>
      <c r="AP14" s="78" t="str">
        <f>IF(OR($R14&lt;&gt;"OK",$AO14=""),"",COUNTIF($AO$6:$AO$205,"&gt;"&amp;$AO14)+COUNTIF($AO$6:$AO14,$AO14))</f>
        <v/>
      </c>
      <c r="AQ14" s="78" t="str">
        <f>IF(OR($R14&lt;&gt;"OK",$AP14=""),"",INDEX('Buy list'!$G$5:$G$204,$AP14))</f>
        <v/>
      </c>
      <c r="AR14" s="78" t="str">
        <f>IF($R14&lt;&gt;"OK","",IF($AB14=0,0,MIN($AB14,CEILING(MAX(0,($F14*MAX(0,MIN((Setup!$C$6+1+Setup!$C$20),(Setup!$C$5-Setup!$C$7))-Setup!$C$4)+$F14*Setup!$C$8*MAX(0,MIN((Setup!$C$6+1+Setup!$C$20),Setup!$C$5)-MAX((Setup!$C$5-Setup!$C$7),Setup!$C$4))+$W14/4*MAX(0,MIN((Setup!$C$6+1+Setup!$C$20),Setup!$C$5+4)-MAX(Setup!$C$5,Setup!$C$4))+$F14*Setup!$C$14*MAX(0,(Setup!$C$6+1+Setup!$C$20)-MAX(Setup!$C$5+4,Setup!$C$4)))+$Y14-$K14-IF(AND($L14&lt;&gt;"",$L14&gt;0),IF($M14&lt;=Setup!$C$10,$L14,0),0)),IF(OR($P14="",$P14&lt;=0),1,$P14)))))</f>
        <v/>
      </c>
      <c r="AS14" s="96" t="str">
        <f>IF($R14&lt;&gt;"OK","",IF(AND($O14&lt;&gt;"Domestic",ISNUMBER(Setup!$C$22),Setup!$C$22&gt;Setup!$C$4),Setup!$C$22,Setup!$C$4))</f>
        <v/>
      </c>
      <c r="AT14" s="96" t="str">
        <f>IF($R14&lt;&gt;"OK","",IF($AB14=0,"",IF($O14="Domestic",$AG14,$AS14+$N14+Setup!$C$27+Setup!$C$11)))</f>
        <v/>
      </c>
    </row>
    <row r="15" ht="15" customHeight="1" s="46">
      <c r="A15" s="70" t="n"/>
      <c r="B15" s="70" t="n"/>
      <c r="C15" s="70" t="n"/>
      <c r="D15" s="85" t="n"/>
      <c r="E15" s="85" t="n"/>
      <c r="F15" s="86" t="n"/>
      <c r="G15" s="87" t="n"/>
      <c r="H15" s="88" t="n"/>
      <c r="I15" s="89" t="n"/>
      <c r="J15" s="90" t="n"/>
      <c r="K15" s="87" t="n"/>
      <c r="L15" s="87" t="n"/>
      <c r="M15" s="91" t="n"/>
      <c r="N15" s="92" t="n"/>
      <c r="O15" s="70" t="n"/>
      <c r="P15" s="92" t="n"/>
      <c r="Q15" s="87" t="n"/>
      <c r="R15" s="79" t="str">
        <f>IF($A15="","",IF($C15="","Missing: type",IF(OR($D15="",$D15&lt;=0),"Missing: unit cost",IF($E15="","Missing: unit price",IF($F15="","Missing: daily sales",IF($K15="","Missing: on hand",IF($N15="","Missing: production days",IF($O15="","Missing: freight mode",IF(ISNA(MATCH($O15,Setup!$B$25:$B$29,0)),"Unknown freight mode",IF(AND($L15&lt;&gt;"",$L15&gt;0,$M15=""),"Missing: on-order arrival date","OK"))))))))))</f>
        <v/>
      </c>
      <c r="S15" s="78" t="str">
        <f>IF($R15&lt;&gt;"OK","",IF($G15="","",ROUND($G15/IF(OR($H15="",$H15&lt;=0),4,$H15)*4,0)))</f>
        <v/>
      </c>
      <c r="T15" s="78" t="str">
        <f>IF($R15&lt;&gt;"OK","",ROUND(IF($G15="",$F15*4*Setup!$C$19,$G15/IF(OR($H15="",$H15&lt;=0),4,$H15)*4*(1+IF($I15="",Setup!$C$16,$I15)))*IF($J15="",1,$J15),0))</f>
        <v/>
      </c>
      <c r="U15" s="78" t="str">
        <f>IF($R15&lt;&gt;"OK","",ROUND($T15*Setup!$C$17,0))</f>
        <v/>
      </c>
      <c r="V15" s="78" t="str">
        <f>IF($R15&lt;&gt;"OK","",ROUND($T15*Setup!$C$18,0))</f>
        <v/>
      </c>
      <c r="W15" s="78" t="str">
        <f>IF($R15&lt;&gt;"OK","",IF($C15="Evergreen",$V15,IF($C15="Seasonal or new",$U15,$T15)))</f>
        <v/>
      </c>
      <c r="X15" s="78" t="str">
        <f>IF($R15&lt;&gt;"OK","",ROUND(($F15*MAX(0,MIN(Setup!$C$13+1,(Setup!$C$5-Setup!$C$7))-Setup!$C$4)+$F15*Setup!$C$8*MAX(0,MIN(Setup!$C$13+1,Setup!$C$5)-MAX((Setup!$C$5-Setup!$C$7),Setup!$C$4))+$W15/4*MAX(0,MIN(Setup!$C$13+1,Setup!$C$5+4)-MAX(Setup!$C$5,Setup!$C$4))+$F15*Setup!$C$14*MAX(0,Setup!$C$13+1-MAX(Setup!$C$5+4,Setup!$C$4))),0))</f>
        <v/>
      </c>
      <c r="Y15" s="78" t="str">
        <f>IF($R15&lt;&gt;"OK","",ROUND($F15*Setup!$C$15,0))</f>
        <v/>
      </c>
      <c r="Z15" s="78" t="str">
        <f>IF($R15&lt;&gt;"OK","",IF(AND($L15&lt;&gt;"",$L15&gt;0),IF($M15&lt;=Setup!$C$13,$L15,0),0))</f>
        <v/>
      </c>
      <c r="AA15" s="78" t="str">
        <f>IF($R15&lt;&gt;"OK","",MAX(0,$X15+$Y15-$K15-$Z15))</f>
        <v/>
      </c>
      <c r="AB15" s="78" t="str">
        <f>IF($R15&lt;&gt;"OK","",IF($AA15=0,0,CEILING(MAX($AA15,IF($Q15="",0,$Q15)),IF(OR($P15="",$P15&lt;=0),1,$P15))))</f>
        <v/>
      </c>
      <c r="AC15" s="78" t="str">
        <f>IF($R15&lt;&gt;"OK","",$AB15*$D15)</f>
        <v/>
      </c>
      <c r="AD15" s="93" t="str">
        <f>IF($R15&lt;&gt;"OK","",INDEX(Setup!$D$25:$D$29,MATCH($O15,Setup!$B$25:$B$29,0)))</f>
        <v/>
      </c>
      <c r="AE15" s="93" t="str">
        <f>IF($R15&lt;&gt;"OK","",$AD15-$N15)</f>
        <v/>
      </c>
      <c r="AF15" s="79" t="str">
        <f>IF($R15&lt;&gt;"OK","",IF($AB15=0,"No order needed",IF($AE15&gt;=$AS15,"Order by the deadline",IF(AND($O15&lt;&gt;"Domestic",Setup!$D$27-$N15&gt;=$AS15),"Late by this mode: fly it",IF(Setup!$D$28-$N15&gt;=$AS15,"Late: Express courier only",IF($AG15&lt;Setup!$C$5,"Tight: lands before Black Friday",IF(AND($O15&lt;&gt;"Domestic",$AT15&lt;Setup!$C$5),"Tight: by Air lands before Black Friday",IF($AS15+$N15+Setup!$C$28+Setup!$C$11&lt;Setup!$C$5,"Tight: by Express lands before Black Friday","Too late: ration"))))))))</f>
        <v/>
      </c>
      <c r="AG15" s="93" t="str">
        <f>IF($R15&lt;&gt;"OK","",IF($AB15=0,"",$AS15+$N15+INDEX(Setup!$C$25:$C$29,MATCH($O15,Setup!$B$25:$B$29,0))+Setup!$C$11))</f>
        <v/>
      </c>
      <c r="AH15" s="93" t="str">
        <f>IF($R15&lt;&gt;"OK","",IF($F15&lt;=0,"",INT(IF($K15&lt;($F15*MAX(0,(Setup!$C$5-Setup!$C$7)-Setup!$C$4)),Setup!$C$4+$K15/$F15,IF($K15&lt;($F15*MAX(0,(Setup!$C$5-Setup!$C$7)-Setup!$C$4))+($F15*Setup!$C$8*MAX(0,Setup!$C$5-MAX((Setup!$C$5-Setup!$C$7),Setup!$C$4))),MAX((Setup!$C$5-Setup!$C$7),Setup!$C$4)+($K15-($F15*MAX(0,(Setup!$C$5-Setup!$C$7)-Setup!$C$4)))/($F15*Setup!$C$8),IF(AND($W15&gt;0,$K15&lt;($F15*MAX(0,(Setup!$C$5-Setup!$C$7)-Setup!$C$4))+($F15*Setup!$C$8*MAX(0,Setup!$C$5-MAX((Setup!$C$5-Setup!$C$7),Setup!$C$4)))+($W15/4*MAX(0,Setup!$C$5+4-MAX(Setup!$C$5,Setup!$C$4)))),MAX(Setup!$C$5,Setup!$C$4)+($K15-($F15*MAX(0,(Setup!$C$5-Setup!$C$7)-Setup!$C$4))-($F15*Setup!$C$8*MAX(0,Setup!$C$5-MAX((Setup!$C$5-Setup!$C$7),Setup!$C$4))))/($W15/4),MAX(Setup!$C$5+4,Setup!$C$4)+($K15-($F15*MAX(0,(Setup!$C$5-Setup!$C$7)-Setup!$C$4))-($F15*Setup!$C$8*MAX(0,Setup!$C$5-MAX((Setup!$C$5-Setup!$C$7),Setup!$C$4)))-($W15/4*MAX(0,Setup!$C$5+4-MAX(Setup!$C$5,Setup!$C$4))))/($F15*Setup!$C$14)))))))</f>
        <v/>
      </c>
      <c r="AI15" s="79" t="str">
        <f>IF($R15&lt;&gt;"OK","",IF(AND($L15&lt;&gt;"",$L15&gt;0,ISNUMBER($AH15),$M15&gt;$AH15),"Runs out before the incoming delivery arrives",IF($AB15=0,"OK",IF($K15+IF(AND($L15&lt;&gt;"",$L15&gt;0),IF($M15&lt;=$AG15,$L15,0),0)&lt;($F15*MAX(0,MIN($AG15,(Setup!$C$5-Setup!$C$7))-Setup!$C$4)+$F15*Setup!$C$8*MAX(0,MIN($AG15,Setup!$C$5)-MAX((Setup!$C$5-Setup!$C$7),Setup!$C$4))+$W15/4*MAX(0,MIN($AG15,Setup!$C$5+4)-MAX(Setup!$C$5,Setup!$C$4))+$F15*Setup!$C$14*MAX(0,$AG15-MAX(Setup!$C$5+4,Setup!$C$4))),"Runs out before this order can land","OK"))))</f>
        <v/>
      </c>
      <c r="AJ15" s="78" t="str">
        <f>IF($R15&lt;&gt;"OK","",IF($AB15=0,0,IF($AL15="Too slow: send it all fast",$AB15,$AR15)))</f>
        <v/>
      </c>
      <c r="AK15" s="78" t="str">
        <f>IF($R15&lt;&gt;"OK","",$AB15-$AJ15)</f>
        <v/>
      </c>
      <c r="AL15" s="78" t="str">
        <f>IF($R15&lt;&gt;"OK","",IF($AB15=0,"",IF($AB15-$AR15=0,"Nothing left over",IF($O15="Domestic",IF($AG15&lt;=Setup!$C$6+Setup!$C$20+1,"Later units can go by Domestic","Too slow: send it all fast"),IF($AS15+$N15+Setup!$C$25+Setup!$C$11&lt;=Setup!$C$6+Setup!$C$20+1,"Later units can go by Ocean long",IF($AS15+$N15+Setup!$C$26+Setup!$C$11&lt;=Setup!$C$6+Setup!$C$20+1,"Later units can go by Ocean short",IF($AS15+$N15+Setup!$C$27+Setup!$C$11&lt;=Setup!$C$6+Setup!$C$20+1,"Later units can go by Air",IF($AS15+$N15+Setup!$C$28+Setup!$C$11&lt;=Setup!$C$6+Setup!$C$20+1,"Later units can go by Express","Too slow: send it all fast"))))))))</f>
        <v/>
      </c>
      <c r="AM15" s="94" t="str">
        <f>IF($R15&lt;&gt;"OK","",$E15-$D15)</f>
        <v/>
      </c>
      <c r="AN15" s="95" t="str">
        <f>IF($R15&lt;&gt;"OK","",($E15-$D15)/$D15)</f>
        <v/>
      </c>
      <c r="AO15" s="95" t="str">
        <f>IF($R15&lt;&gt;"OK","",IF($AB15&gt;0,$AN15+IF($C15="Evergreen",1000,0),""))</f>
        <v/>
      </c>
      <c r="AP15" s="78" t="str">
        <f>IF(OR($R15&lt;&gt;"OK",$AO15=""),"",COUNTIF($AO$6:$AO$205,"&gt;"&amp;$AO15)+COUNTIF($AO$6:$AO15,$AO15))</f>
        <v/>
      </c>
      <c r="AQ15" s="78" t="str">
        <f>IF(OR($R15&lt;&gt;"OK",$AP15=""),"",INDEX('Buy list'!$G$5:$G$204,$AP15))</f>
        <v/>
      </c>
      <c r="AR15" s="78" t="str">
        <f>IF($R15&lt;&gt;"OK","",IF($AB15=0,0,MIN($AB15,CEILING(MAX(0,($F15*MAX(0,MIN((Setup!$C$6+1+Setup!$C$20),(Setup!$C$5-Setup!$C$7))-Setup!$C$4)+$F15*Setup!$C$8*MAX(0,MIN((Setup!$C$6+1+Setup!$C$20),Setup!$C$5)-MAX((Setup!$C$5-Setup!$C$7),Setup!$C$4))+$W15/4*MAX(0,MIN((Setup!$C$6+1+Setup!$C$20),Setup!$C$5+4)-MAX(Setup!$C$5,Setup!$C$4))+$F15*Setup!$C$14*MAX(0,(Setup!$C$6+1+Setup!$C$20)-MAX(Setup!$C$5+4,Setup!$C$4)))+$Y15-$K15-IF(AND($L15&lt;&gt;"",$L15&gt;0),IF($M15&lt;=Setup!$C$10,$L15,0),0)),IF(OR($P15="",$P15&lt;=0),1,$P15)))))</f>
        <v/>
      </c>
      <c r="AS15" s="96" t="str">
        <f>IF($R15&lt;&gt;"OK","",IF(AND($O15&lt;&gt;"Domestic",ISNUMBER(Setup!$C$22),Setup!$C$22&gt;Setup!$C$4),Setup!$C$22,Setup!$C$4))</f>
        <v/>
      </c>
      <c r="AT15" s="96" t="str">
        <f>IF($R15&lt;&gt;"OK","",IF($AB15=0,"",IF($O15="Domestic",$AG15,$AS15+$N15+Setup!$C$27+Setup!$C$11)))</f>
        <v/>
      </c>
    </row>
    <row r="16" ht="15" customHeight="1" s="46">
      <c r="A16" s="70" t="n"/>
      <c r="B16" s="70" t="n"/>
      <c r="C16" s="70" t="n"/>
      <c r="D16" s="85" t="n"/>
      <c r="E16" s="85" t="n"/>
      <c r="F16" s="86" t="n"/>
      <c r="G16" s="87" t="n"/>
      <c r="H16" s="88" t="n"/>
      <c r="I16" s="89" t="n"/>
      <c r="J16" s="90" t="n"/>
      <c r="K16" s="87" t="n"/>
      <c r="L16" s="87" t="n"/>
      <c r="M16" s="91" t="n"/>
      <c r="N16" s="92" t="n"/>
      <c r="O16" s="70" t="n"/>
      <c r="P16" s="92" t="n"/>
      <c r="Q16" s="87" t="n"/>
      <c r="R16" s="79" t="str">
        <f>IF($A16="","",IF($C16="","Missing: type",IF(OR($D16="",$D16&lt;=0),"Missing: unit cost",IF($E16="","Missing: unit price",IF($F16="","Missing: daily sales",IF($K16="","Missing: on hand",IF($N16="","Missing: production days",IF($O16="","Missing: freight mode",IF(ISNA(MATCH($O16,Setup!$B$25:$B$29,0)),"Unknown freight mode",IF(AND($L16&lt;&gt;"",$L16&gt;0,$M16=""),"Missing: on-order arrival date","OK"))))))))))</f>
        <v/>
      </c>
      <c r="S16" s="78" t="str">
        <f>IF($R16&lt;&gt;"OK","",IF($G16="","",ROUND($G16/IF(OR($H16="",$H16&lt;=0),4,$H16)*4,0)))</f>
        <v/>
      </c>
      <c r="T16" s="78" t="str">
        <f>IF($R16&lt;&gt;"OK","",ROUND(IF($G16="",$F16*4*Setup!$C$19,$G16/IF(OR($H16="",$H16&lt;=0),4,$H16)*4*(1+IF($I16="",Setup!$C$16,$I16)))*IF($J16="",1,$J16),0))</f>
        <v/>
      </c>
      <c r="U16" s="78" t="str">
        <f>IF($R16&lt;&gt;"OK","",ROUND($T16*Setup!$C$17,0))</f>
        <v/>
      </c>
      <c r="V16" s="78" t="str">
        <f>IF($R16&lt;&gt;"OK","",ROUND($T16*Setup!$C$18,0))</f>
        <v/>
      </c>
      <c r="W16" s="78" t="str">
        <f>IF($R16&lt;&gt;"OK","",IF($C16="Evergreen",$V16,IF($C16="Seasonal or new",$U16,$T16)))</f>
        <v/>
      </c>
      <c r="X16" s="78" t="str">
        <f>IF($R16&lt;&gt;"OK","",ROUND(($F16*MAX(0,MIN(Setup!$C$13+1,(Setup!$C$5-Setup!$C$7))-Setup!$C$4)+$F16*Setup!$C$8*MAX(0,MIN(Setup!$C$13+1,Setup!$C$5)-MAX((Setup!$C$5-Setup!$C$7),Setup!$C$4))+$W16/4*MAX(0,MIN(Setup!$C$13+1,Setup!$C$5+4)-MAX(Setup!$C$5,Setup!$C$4))+$F16*Setup!$C$14*MAX(0,Setup!$C$13+1-MAX(Setup!$C$5+4,Setup!$C$4))),0))</f>
        <v/>
      </c>
      <c r="Y16" s="78" t="str">
        <f>IF($R16&lt;&gt;"OK","",ROUND($F16*Setup!$C$15,0))</f>
        <v/>
      </c>
      <c r="Z16" s="78" t="str">
        <f>IF($R16&lt;&gt;"OK","",IF(AND($L16&lt;&gt;"",$L16&gt;0),IF($M16&lt;=Setup!$C$13,$L16,0),0))</f>
        <v/>
      </c>
      <c r="AA16" s="78" t="str">
        <f>IF($R16&lt;&gt;"OK","",MAX(0,$X16+$Y16-$K16-$Z16))</f>
        <v/>
      </c>
      <c r="AB16" s="78" t="str">
        <f>IF($R16&lt;&gt;"OK","",IF($AA16=0,0,CEILING(MAX($AA16,IF($Q16="",0,$Q16)),IF(OR($P16="",$P16&lt;=0),1,$P16))))</f>
        <v/>
      </c>
      <c r="AC16" s="78" t="str">
        <f>IF($R16&lt;&gt;"OK","",$AB16*$D16)</f>
        <v/>
      </c>
      <c r="AD16" s="93" t="str">
        <f>IF($R16&lt;&gt;"OK","",INDEX(Setup!$D$25:$D$29,MATCH($O16,Setup!$B$25:$B$29,0)))</f>
        <v/>
      </c>
      <c r="AE16" s="93" t="str">
        <f>IF($R16&lt;&gt;"OK","",$AD16-$N16)</f>
        <v/>
      </c>
      <c r="AF16" s="79" t="str">
        <f>IF($R16&lt;&gt;"OK","",IF($AB16=0,"No order needed",IF($AE16&gt;=$AS16,"Order by the deadline",IF(AND($O16&lt;&gt;"Domestic",Setup!$D$27-$N16&gt;=$AS16),"Late by this mode: fly it",IF(Setup!$D$28-$N16&gt;=$AS16,"Late: Express courier only",IF($AG16&lt;Setup!$C$5,"Tight: lands before Black Friday",IF(AND($O16&lt;&gt;"Domestic",$AT16&lt;Setup!$C$5),"Tight: by Air lands before Black Friday",IF($AS16+$N16+Setup!$C$28+Setup!$C$11&lt;Setup!$C$5,"Tight: by Express lands before Black Friday","Too late: ration"))))))))</f>
        <v/>
      </c>
      <c r="AG16" s="93" t="str">
        <f>IF($R16&lt;&gt;"OK","",IF($AB16=0,"",$AS16+$N16+INDEX(Setup!$C$25:$C$29,MATCH($O16,Setup!$B$25:$B$29,0))+Setup!$C$11))</f>
        <v/>
      </c>
      <c r="AH16" s="93" t="str">
        <f>IF($R16&lt;&gt;"OK","",IF($F16&lt;=0,"",INT(IF($K16&lt;($F16*MAX(0,(Setup!$C$5-Setup!$C$7)-Setup!$C$4)),Setup!$C$4+$K16/$F16,IF($K16&lt;($F16*MAX(0,(Setup!$C$5-Setup!$C$7)-Setup!$C$4))+($F16*Setup!$C$8*MAX(0,Setup!$C$5-MAX((Setup!$C$5-Setup!$C$7),Setup!$C$4))),MAX((Setup!$C$5-Setup!$C$7),Setup!$C$4)+($K16-($F16*MAX(0,(Setup!$C$5-Setup!$C$7)-Setup!$C$4)))/($F16*Setup!$C$8),IF(AND($W16&gt;0,$K16&lt;($F16*MAX(0,(Setup!$C$5-Setup!$C$7)-Setup!$C$4))+($F16*Setup!$C$8*MAX(0,Setup!$C$5-MAX((Setup!$C$5-Setup!$C$7),Setup!$C$4)))+($W16/4*MAX(0,Setup!$C$5+4-MAX(Setup!$C$5,Setup!$C$4)))),MAX(Setup!$C$5,Setup!$C$4)+($K16-($F16*MAX(0,(Setup!$C$5-Setup!$C$7)-Setup!$C$4))-($F16*Setup!$C$8*MAX(0,Setup!$C$5-MAX((Setup!$C$5-Setup!$C$7),Setup!$C$4))))/($W16/4),MAX(Setup!$C$5+4,Setup!$C$4)+($K16-($F16*MAX(0,(Setup!$C$5-Setup!$C$7)-Setup!$C$4))-($F16*Setup!$C$8*MAX(0,Setup!$C$5-MAX((Setup!$C$5-Setup!$C$7),Setup!$C$4)))-($W16/4*MAX(0,Setup!$C$5+4-MAX(Setup!$C$5,Setup!$C$4))))/($F16*Setup!$C$14)))))))</f>
        <v/>
      </c>
      <c r="AI16" s="79" t="str">
        <f>IF($R16&lt;&gt;"OK","",IF(AND($L16&lt;&gt;"",$L16&gt;0,ISNUMBER($AH16),$M16&gt;$AH16),"Runs out before the incoming delivery arrives",IF($AB16=0,"OK",IF($K16+IF(AND($L16&lt;&gt;"",$L16&gt;0),IF($M16&lt;=$AG16,$L16,0),0)&lt;($F16*MAX(0,MIN($AG16,(Setup!$C$5-Setup!$C$7))-Setup!$C$4)+$F16*Setup!$C$8*MAX(0,MIN($AG16,Setup!$C$5)-MAX((Setup!$C$5-Setup!$C$7),Setup!$C$4))+$W16/4*MAX(0,MIN($AG16,Setup!$C$5+4)-MAX(Setup!$C$5,Setup!$C$4))+$F16*Setup!$C$14*MAX(0,$AG16-MAX(Setup!$C$5+4,Setup!$C$4))),"Runs out before this order can land","OK"))))</f>
        <v/>
      </c>
      <c r="AJ16" s="78" t="str">
        <f>IF($R16&lt;&gt;"OK","",IF($AB16=0,0,IF($AL16="Too slow: send it all fast",$AB16,$AR16)))</f>
        <v/>
      </c>
      <c r="AK16" s="78" t="str">
        <f>IF($R16&lt;&gt;"OK","",$AB16-$AJ16)</f>
        <v/>
      </c>
      <c r="AL16" s="78" t="str">
        <f>IF($R16&lt;&gt;"OK","",IF($AB16=0,"",IF($AB16-$AR16=0,"Nothing left over",IF($O16="Domestic",IF($AG16&lt;=Setup!$C$6+Setup!$C$20+1,"Later units can go by Domestic","Too slow: send it all fast"),IF($AS16+$N16+Setup!$C$25+Setup!$C$11&lt;=Setup!$C$6+Setup!$C$20+1,"Later units can go by Ocean long",IF($AS16+$N16+Setup!$C$26+Setup!$C$11&lt;=Setup!$C$6+Setup!$C$20+1,"Later units can go by Ocean short",IF($AS16+$N16+Setup!$C$27+Setup!$C$11&lt;=Setup!$C$6+Setup!$C$20+1,"Later units can go by Air",IF($AS16+$N16+Setup!$C$28+Setup!$C$11&lt;=Setup!$C$6+Setup!$C$20+1,"Later units can go by Express","Too slow: send it all fast"))))))))</f>
        <v/>
      </c>
      <c r="AM16" s="94" t="str">
        <f>IF($R16&lt;&gt;"OK","",$E16-$D16)</f>
        <v/>
      </c>
      <c r="AN16" s="95" t="str">
        <f>IF($R16&lt;&gt;"OK","",($E16-$D16)/$D16)</f>
        <v/>
      </c>
      <c r="AO16" s="95" t="str">
        <f>IF($R16&lt;&gt;"OK","",IF($AB16&gt;0,$AN16+IF($C16="Evergreen",1000,0),""))</f>
        <v/>
      </c>
      <c r="AP16" s="78" t="str">
        <f>IF(OR($R16&lt;&gt;"OK",$AO16=""),"",COUNTIF($AO$6:$AO$205,"&gt;"&amp;$AO16)+COUNTIF($AO$6:$AO16,$AO16))</f>
        <v/>
      </c>
      <c r="AQ16" s="78" t="str">
        <f>IF(OR($R16&lt;&gt;"OK",$AP16=""),"",INDEX('Buy list'!$G$5:$G$204,$AP16))</f>
        <v/>
      </c>
      <c r="AR16" s="78" t="str">
        <f>IF($R16&lt;&gt;"OK","",IF($AB16=0,0,MIN($AB16,CEILING(MAX(0,($F16*MAX(0,MIN((Setup!$C$6+1+Setup!$C$20),(Setup!$C$5-Setup!$C$7))-Setup!$C$4)+$F16*Setup!$C$8*MAX(0,MIN((Setup!$C$6+1+Setup!$C$20),Setup!$C$5)-MAX((Setup!$C$5-Setup!$C$7),Setup!$C$4))+$W16/4*MAX(0,MIN((Setup!$C$6+1+Setup!$C$20),Setup!$C$5+4)-MAX(Setup!$C$5,Setup!$C$4))+$F16*Setup!$C$14*MAX(0,(Setup!$C$6+1+Setup!$C$20)-MAX(Setup!$C$5+4,Setup!$C$4)))+$Y16-$K16-IF(AND($L16&lt;&gt;"",$L16&gt;0),IF($M16&lt;=Setup!$C$10,$L16,0),0)),IF(OR($P16="",$P16&lt;=0),1,$P16)))))</f>
        <v/>
      </c>
      <c r="AS16" s="96" t="str">
        <f>IF($R16&lt;&gt;"OK","",IF(AND($O16&lt;&gt;"Domestic",ISNUMBER(Setup!$C$22),Setup!$C$22&gt;Setup!$C$4),Setup!$C$22,Setup!$C$4))</f>
        <v/>
      </c>
      <c r="AT16" s="96" t="str">
        <f>IF($R16&lt;&gt;"OK","",IF($AB16=0,"",IF($O16="Domestic",$AG16,$AS16+$N16+Setup!$C$27+Setup!$C$11)))</f>
        <v/>
      </c>
    </row>
    <row r="17" ht="15" customHeight="1" s="46">
      <c r="A17" s="70" t="n"/>
      <c r="B17" s="70" t="n"/>
      <c r="C17" s="70" t="n"/>
      <c r="D17" s="85" t="n"/>
      <c r="E17" s="85" t="n"/>
      <c r="F17" s="86" t="n"/>
      <c r="G17" s="87" t="n"/>
      <c r="H17" s="88" t="n"/>
      <c r="I17" s="89" t="n"/>
      <c r="J17" s="90" t="n"/>
      <c r="K17" s="87" t="n"/>
      <c r="L17" s="87" t="n"/>
      <c r="M17" s="91" t="n"/>
      <c r="N17" s="92" t="n"/>
      <c r="O17" s="70" t="n"/>
      <c r="P17" s="92" t="n"/>
      <c r="Q17" s="87" t="n"/>
      <c r="R17" s="79" t="str">
        <f>IF($A17="","",IF($C17="","Missing: type",IF(OR($D17="",$D17&lt;=0),"Missing: unit cost",IF($E17="","Missing: unit price",IF($F17="","Missing: daily sales",IF($K17="","Missing: on hand",IF($N17="","Missing: production days",IF($O17="","Missing: freight mode",IF(ISNA(MATCH($O17,Setup!$B$25:$B$29,0)),"Unknown freight mode",IF(AND($L17&lt;&gt;"",$L17&gt;0,$M17=""),"Missing: on-order arrival date","OK"))))))))))</f>
        <v/>
      </c>
      <c r="S17" s="78" t="str">
        <f>IF($R17&lt;&gt;"OK","",IF($G17="","",ROUND($G17/IF(OR($H17="",$H17&lt;=0),4,$H17)*4,0)))</f>
        <v/>
      </c>
      <c r="T17" s="78" t="str">
        <f>IF($R17&lt;&gt;"OK","",ROUND(IF($G17="",$F17*4*Setup!$C$19,$G17/IF(OR($H17="",$H17&lt;=0),4,$H17)*4*(1+IF($I17="",Setup!$C$16,$I17)))*IF($J17="",1,$J17),0))</f>
        <v/>
      </c>
      <c r="U17" s="78" t="str">
        <f>IF($R17&lt;&gt;"OK","",ROUND($T17*Setup!$C$17,0))</f>
        <v/>
      </c>
      <c r="V17" s="78" t="str">
        <f>IF($R17&lt;&gt;"OK","",ROUND($T17*Setup!$C$18,0))</f>
        <v/>
      </c>
      <c r="W17" s="78" t="str">
        <f>IF($R17&lt;&gt;"OK","",IF($C17="Evergreen",$V17,IF($C17="Seasonal or new",$U17,$T17)))</f>
        <v/>
      </c>
      <c r="X17" s="78" t="str">
        <f>IF($R17&lt;&gt;"OK","",ROUND(($F17*MAX(0,MIN(Setup!$C$13+1,(Setup!$C$5-Setup!$C$7))-Setup!$C$4)+$F17*Setup!$C$8*MAX(0,MIN(Setup!$C$13+1,Setup!$C$5)-MAX((Setup!$C$5-Setup!$C$7),Setup!$C$4))+$W17/4*MAX(0,MIN(Setup!$C$13+1,Setup!$C$5+4)-MAX(Setup!$C$5,Setup!$C$4))+$F17*Setup!$C$14*MAX(0,Setup!$C$13+1-MAX(Setup!$C$5+4,Setup!$C$4))),0))</f>
        <v/>
      </c>
      <c r="Y17" s="78" t="str">
        <f>IF($R17&lt;&gt;"OK","",ROUND($F17*Setup!$C$15,0))</f>
        <v/>
      </c>
      <c r="Z17" s="78" t="str">
        <f>IF($R17&lt;&gt;"OK","",IF(AND($L17&lt;&gt;"",$L17&gt;0),IF($M17&lt;=Setup!$C$13,$L17,0),0))</f>
        <v/>
      </c>
      <c r="AA17" s="78" t="str">
        <f>IF($R17&lt;&gt;"OK","",MAX(0,$X17+$Y17-$K17-$Z17))</f>
        <v/>
      </c>
      <c r="AB17" s="78" t="str">
        <f>IF($R17&lt;&gt;"OK","",IF($AA17=0,0,CEILING(MAX($AA17,IF($Q17="",0,$Q17)),IF(OR($P17="",$P17&lt;=0),1,$P17))))</f>
        <v/>
      </c>
      <c r="AC17" s="78" t="str">
        <f>IF($R17&lt;&gt;"OK","",$AB17*$D17)</f>
        <v/>
      </c>
      <c r="AD17" s="93" t="str">
        <f>IF($R17&lt;&gt;"OK","",INDEX(Setup!$D$25:$D$29,MATCH($O17,Setup!$B$25:$B$29,0)))</f>
        <v/>
      </c>
      <c r="AE17" s="93" t="str">
        <f>IF($R17&lt;&gt;"OK","",$AD17-$N17)</f>
        <v/>
      </c>
      <c r="AF17" s="79" t="str">
        <f>IF($R17&lt;&gt;"OK","",IF($AB17=0,"No order needed",IF($AE17&gt;=$AS17,"Order by the deadline",IF(AND($O17&lt;&gt;"Domestic",Setup!$D$27-$N17&gt;=$AS17),"Late by this mode: fly it",IF(Setup!$D$28-$N17&gt;=$AS17,"Late: Express courier only",IF($AG17&lt;Setup!$C$5,"Tight: lands before Black Friday",IF(AND($O17&lt;&gt;"Domestic",$AT17&lt;Setup!$C$5),"Tight: by Air lands before Black Friday",IF($AS17+$N17+Setup!$C$28+Setup!$C$11&lt;Setup!$C$5,"Tight: by Express lands before Black Friday","Too late: ration"))))))))</f>
        <v/>
      </c>
      <c r="AG17" s="93" t="str">
        <f>IF($R17&lt;&gt;"OK","",IF($AB17=0,"",$AS17+$N17+INDEX(Setup!$C$25:$C$29,MATCH($O17,Setup!$B$25:$B$29,0))+Setup!$C$11))</f>
        <v/>
      </c>
      <c r="AH17" s="93" t="str">
        <f>IF($R17&lt;&gt;"OK","",IF($F17&lt;=0,"",INT(IF($K17&lt;($F17*MAX(0,(Setup!$C$5-Setup!$C$7)-Setup!$C$4)),Setup!$C$4+$K17/$F17,IF($K17&lt;($F17*MAX(0,(Setup!$C$5-Setup!$C$7)-Setup!$C$4))+($F17*Setup!$C$8*MAX(0,Setup!$C$5-MAX((Setup!$C$5-Setup!$C$7),Setup!$C$4))),MAX((Setup!$C$5-Setup!$C$7),Setup!$C$4)+($K17-($F17*MAX(0,(Setup!$C$5-Setup!$C$7)-Setup!$C$4)))/($F17*Setup!$C$8),IF(AND($W17&gt;0,$K17&lt;($F17*MAX(0,(Setup!$C$5-Setup!$C$7)-Setup!$C$4))+($F17*Setup!$C$8*MAX(0,Setup!$C$5-MAX((Setup!$C$5-Setup!$C$7),Setup!$C$4)))+($W17/4*MAX(0,Setup!$C$5+4-MAX(Setup!$C$5,Setup!$C$4)))),MAX(Setup!$C$5,Setup!$C$4)+($K17-($F17*MAX(0,(Setup!$C$5-Setup!$C$7)-Setup!$C$4))-($F17*Setup!$C$8*MAX(0,Setup!$C$5-MAX((Setup!$C$5-Setup!$C$7),Setup!$C$4))))/($W17/4),MAX(Setup!$C$5+4,Setup!$C$4)+($K17-($F17*MAX(0,(Setup!$C$5-Setup!$C$7)-Setup!$C$4))-($F17*Setup!$C$8*MAX(0,Setup!$C$5-MAX((Setup!$C$5-Setup!$C$7),Setup!$C$4)))-($W17/4*MAX(0,Setup!$C$5+4-MAX(Setup!$C$5,Setup!$C$4))))/($F17*Setup!$C$14)))))))</f>
        <v/>
      </c>
      <c r="AI17" s="79" t="str">
        <f>IF($R17&lt;&gt;"OK","",IF(AND($L17&lt;&gt;"",$L17&gt;0,ISNUMBER($AH17),$M17&gt;$AH17),"Runs out before the incoming delivery arrives",IF($AB17=0,"OK",IF($K17+IF(AND($L17&lt;&gt;"",$L17&gt;0),IF($M17&lt;=$AG17,$L17,0),0)&lt;($F17*MAX(0,MIN($AG17,(Setup!$C$5-Setup!$C$7))-Setup!$C$4)+$F17*Setup!$C$8*MAX(0,MIN($AG17,Setup!$C$5)-MAX((Setup!$C$5-Setup!$C$7),Setup!$C$4))+$W17/4*MAX(0,MIN($AG17,Setup!$C$5+4)-MAX(Setup!$C$5,Setup!$C$4))+$F17*Setup!$C$14*MAX(0,$AG17-MAX(Setup!$C$5+4,Setup!$C$4))),"Runs out before this order can land","OK"))))</f>
        <v/>
      </c>
      <c r="AJ17" s="78" t="str">
        <f>IF($R17&lt;&gt;"OK","",IF($AB17=0,0,IF($AL17="Too slow: send it all fast",$AB17,$AR17)))</f>
        <v/>
      </c>
      <c r="AK17" s="78" t="str">
        <f>IF($R17&lt;&gt;"OK","",$AB17-$AJ17)</f>
        <v/>
      </c>
      <c r="AL17" s="78" t="str">
        <f>IF($R17&lt;&gt;"OK","",IF($AB17=0,"",IF($AB17-$AR17=0,"Nothing left over",IF($O17="Domestic",IF($AG17&lt;=Setup!$C$6+Setup!$C$20+1,"Later units can go by Domestic","Too slow: send it all fast"),IF($AS17+$N17+Setup!$C$25+Setup!$C$11&lt;=Setup!$C$6+Setup!$C$20+1,"Later units can go by Ocean long",IF($AS17+$N17+Setup!$C$26+Setup!$C$11&lt;=Setup!$C$6+Setup!$C$20+1,"Later units can go by Ocean short",IF($AS17+$N17+Setup!$C$27+Setup!$C$11&lt;=Setup!$C$6+Setup!$C$20+1,"Later units can go by Air",IF($AS17+$N17+Setup!$C$28+Setup!$C$11&lt;=Setup!$C$6+Setup!$C$20+1,"Later units can go by Express","Too slow: send it all fast"))))))))</f>
        <v/>
      </c>
      <c r="AM17" s="94" t="str">
        <f>IF($R17&lt;&gt;"OK","",$E17-$D17)</f>
        <v/>
      </c>
      <c r="AN17" s="95" t="str">
        <f>IF($R17&lt;&gt;"OK","",($E17-$D17)/$D17)</f>
        <v/>
      </c>
      <c r="AO17" s="95" t="str">
        <f>IF($R17&lt;&gt;"OK","",IF($AB17&gt;0,$AN17+IF($C17="Evergreen",1000,0),""))</f>
        <v/>
      </c>
      <c r="AP17" s="78" t="str">
        <f>IF(OR($R17&lt;&gt;"OK",$AO17=""),"",COUNTIF($AO$6:$AO$205,"&gt;"&amp;$AO17)+COUNTIF($AO$6:$AO17,$AO17))</f>
        <v/>
      </c>
      <c r="AQ17" s="78" t="str">
        <f>IF(OR($R17&lt;&gt;"OK",$AP17=""),"",INDEX('Buy list'!$G$5:$G$204,$AP17))</f>
        <v/>
      </c>
      <c r="AR17" s="78" t="str">
        <f>IF($R17&lt;&gt;"OK","",IF($AB17=0,0,MIN($AB17,CEILING(MAX(0,($F17*MAX(0,MIN((Setup!$C$6+1+Setup!$C$20),(Setup!$C$5-Setup!$C$7))-Setup!$C$4)+$F17*Setup!$C$8*MAX(0,MIN((Setup!$C$6+1+Setup!$C$20),Setup!$C$5)-MAX((Setup!$C$5-Setup!$C$7),Setup!$C$4))+$W17/4*MAX(0,MIN((Setup!$C$6+1+Setup!$C$20),Setup!$C$5+4)-MAX(Setup!$C$5,Setup!$C$4))+$F17*Setup!$C$14*MAX(0,(Setup!$C$6+1+Setup!$C$20)-MAX(Setup!$C$5+4,Setup!$C$4)))+$Y17-$K17-IF(AND($L17&lt;&gt;"",$L17&gt;0),IF($M17&lt;=Setup!$C$10,$L17,0),0)),IF(OR($P17="",$P17&lt;=0),1,$P17)))))</f>
        <v/>
      </c>
      <c r="AS17" s="96" t="str">
        <f>IF($R17&lt;&gt;"OK","",IF(AND($O17&lt;&gt;"Domestic",ISNUMBER(Setup!$C$22),Setup!$C$22&gt;Setup!$C$4),Setup!$C$22,Setup!$C$4))</f>
        <v/>
      </c>
      <c r="AT17" s="96" t="str">
        <f>IF($R17&lt;&gt;"OK","",IF($AB17=0,"",IF($O17="Domestic",$AG17,$AS17+$N17+Setup!$C$27+Setup!$C$11)))</f>
        <v/>
      </c>
    </row>
    <row r="18" ht="15" customHeight="1" s="46">
      <c r="A18" s="70" t="n"/>
      <c r="B18" s="70" t="n"/>
      <c r="C18" s="70" t="n"/>
      <c r="D18" s="85" t="n"/>
      <c r="E18" s="85" t="n"/>
      <c r="F18" s="86" t="n"/>
      <c r="G18" s="87" t="n"/>
      <c r="H18" s="88" t="n"/>
      <c r="I18" s="89" t="n"/>
      <c r="J18" s="90" t="n"/>
      <c r="K18" s="87" t="n"/>
      <c r="L18" s="87" t="n"/>
      <c r="M18" s="91" t="n"/>
      <c r="N18" s="92" t="n"/>
      <c r="O18" s="70" t="n"/>
      <c r="P18" s="92" t="n"/>
      <c r="Q18" s="87" t="n"/>
      <c r="R18" s="79" t="str">
        <f>IF($A18="","",IF($C18="","Missing: type",IF(OR($D18="",$D18&lt;=0),"Missing: unit cost",IF($E18="","Missing: unit price",IF($F18="","Missing: daily sales",IF($K18="","Missing: on hand",IF($N18="","Missing: production days",IF($O18="","Missing: freight mode",IF(ISNA(MATCH($O18,Setup!$B$25:$B$29,0)),"Unknown freight mode",IF(AND($L18&lt;&gt;"",$L18&gt;0,$M18=""),"Missing: on-order arrival date","OK"))))))))))</f>
        <v/>
      </c>
      <c r="S18" s="78" t="str">
        <f>IF($R18&lt;&gt;"OK","",IF($G18="","",ROUND($G18/IF(OR($H18="",$H18&lt;=0),4,$H18)*4,0)))</f>
        <v/>
      </c>
      <c r="T18" s="78" t="str">
        <f>IF($R18&lt;&gt;"OK","",ROUND(IF($G18="",$F18*4*Setup!$C$19,$G18/IF(OR($H18="",$H18&lt;=0),4,$H18)*4*(1+IF($I18="",Setup!$C$16,$I18)))*IF($J18="",1,$J18),0))</f>
        <v/>
      </c>
      <c r="U18" s="78" t="str">
        <f>IF($R18&lt;&gt;"OK","",ROUND($T18*Setup!$C$17,0))</f>
        <v/>
      </c>
      <c r="V18" s="78" t="str">
        <f>IF($R18&lt;&gt;"OK","",ROUND($T18*Setup!$C$18,0))</f>
        <v/>
      </c>
      <c r="W18" s="78" t="str">
        <f>IF($R18&lt;&gt;"OK","",IF($C18="Evergreen",$V18,IF($C18="Seasonal or new",$U18,$T18)))</f>
        <v/>
      </c>
      <c r="X18" s="78" t="str">
        <f>IF($R18&lt;&gt;"OK","",ROUND(($F18*MAX(0,MIN(Setup!$C$13+1,(Setup!$C$5-Setup!$C$7))-Setup!$C$4)+$F18*Setup!$C$8*MAX(0,MIN(Setup!$C$13+1,Setup!$C$5)-MAX((Setup!$C$5-Setup!$C$7),Setup!$C$4))+$W18/4*MAX(0,MIN(Setup!$C$13+1,Setup!$C$5+4)-MAX(Setup!$C$5,Setup!$C$4))+$F18*Setup!$C$14*MAX(0,Setup!$C$13+1-MAX(Setup!$C$5+4,Setup!$C$4))),0))</f>
        <v/>
      </c>
      <c r="Y18" s="78" t="str">
        <f>IF($R18&lt;&gt;"OK","",ROUND($F18*Setup!$C$15,0))</f>
        <v/>
      </c>
      <c r="Z18" s="78" t="str">
        <f>IF($R18&lt;&gt;"OK","",IF(AND($L18&lt;&gt;"",$L18&gt;0),IF($M18&lt;=Setup!$C$13,$L18,0),0))</f>
        <v/>
      </c>
      <c r="AA18" s="78" t="str">
        <f>IF($R18&lt;&gt;"OK","",MAX(0,$X18+$Y18-$K18-$Z18))</f>
        <v/>
      </c>
      <c r="AB18" s="78" t="str">
        <f>IF($R18&lt;&gt;"OK","",IF($AA18=0,0,CEILING(MAX($AA18,IF($Q18="",0,$Q18)),IF(OR($P18="",$P18&lt;=0),1,$P18))))</f>
        <v/>
      </c>
      <c r="AC18" s="78" t="str">
        <f>IF($R18&lt;&gt;"OK","",$AB18*$D18)</f>
        <v/>
      </c>
      <c r="AD18" s="93" t="str">
        <f>IF($R18&lt;&gt;"OK","",INDEX(Setup!$D$25:$D$29,MATCH($O18,Setup!$B$25:$B$29,0)))</f>
        <v/>
      </c>
      <c r="AE18" s="93" t="str">
        <f>IF($R18&lt;&gt;"OK","",$AD18-$N18)</f>
        <v/>
      </c>
      <c r="AF18" s="79" t="str">
        <f>IF($R18&lt;&gt;"OK","",IF($AB18=0,"No order needed",IF($AE18&gt;=$AS18,"Order by the deadline",IF(AND($O18&lt;&gt;"Domestic",Setup!$D$27-$N18&gt;=$AS18),"Late by this mode: fly it",IF(Setup!$D$28-$N18&gt;=$AS18,"Late: Express courier only",IF($AG18&lt;Setup!$C$5,"Tight: lands before Black Friday",IF(AND($O18&lt;&gt;"Domestic",$AT18&lt;Setup!$C$5),"Tight: by Air lands before Black Friday",IF($AS18+$N18+Setup!$C$28+Setup!$C$11&lt;Setup!$C$5,"Tight: by Express lands before Black Friday","Too late: ration"))))))))</f>
        <v/>
      </c>
      <c r="AG18" s="93" t="str">
        <f>IF($R18&lt;&gt;"OK","",IF($AB18=0,"",$AS18+$N18+INDEX(Setup!$C$25:$C$29,MATCH($O18,Setup!$B$25:$B$29,0))+Setup!$C$11))</f>
        <v/>
      </c>
      <c r="AH18" s="93" t="str">
        <f>IF($R18&lt;&gt;"OK","",IF($F18&lt;=0,"",INT(IF($K18&lt;($F18*MAX(0,(Setup!$C$5-Setup!$C$7)-Setup!$C$4)),Setup!$C$4+$K18/$F18,IF($K18&lt;($F18*MAX(0,(Setup!$C$5-Setup!$C$7)-Setup!$C$4))+($F18*Setup!$C$8*MAX(0,Setup!$C$5-MAX((Setup!$C$5-Setup!$C$7),Setup!$C$4))),MAX((Setup!$C$5-Setup!$C$7),Setup!$C$4)+($K18-($F18*MAX(0,(Setup!$C$5-Setup!$C$7)-Setup!$C$4)))/($F18*Setup!$C$8),IF(AND($W18&gt;0,$K18&lt;($F18*MAX(0,(Setup!$C$5-Setup!$C$7)-Setup!$C$4))+($F18*Setup!$C$8*MAX(0,Setup!$C$5-MAX((Setup!$C$5-Setup!$C$7),Setup!$C$4)))+($W18/4*MAX(0,Setup!$C$5+4-MAX(Setup!$C$5,Setup!$C$4)))),MAX(Setup!$C$5,Setup!$C$4)+($K18-($F18*MAX(0,(Setup!$C$5-Setup!$C$7)-Setup!$C$4))-($F18*Setup!$C$8*MAX(0,Setup!$C$5-MAX((Setup!$C$5-Setup!$C$7),Setup!$C$4))))/($W18/4),MAX(Setup!$C$5+4,Setup!$C$4)+($K18-($F18*MAX(0,(Setup!$C$5-Setup!$C$7)-Setup!$C$4))-($F18*Setup!$C$8*MAX(0,Setup!$C$5-MAX((Setup!$C$5-Setup!$C$7),Setup!$C$4)))-($W18/4*MAX(0,Setup!$C$5+4-MAX(Setup!$C$5,Setup!$C$4))))/($F18*Setup!$C$14)))))))</f>
        <v/>
      </c>
      <c r="AI18" s="79" t="str">
        <f>IF($R18&lt;&gt;"OK","",IF(AND($L18&lt;&gt;"",$L18&gt;0,ISNUMBER($AH18),$M18&gt;$AH18),"Runs out before the incoming delivery arrives",IF($AB18=0,"OK",IF($K18+IF(AND($L18&lt;&gt;"",$L18&gt;0),IF($M18&lt;=$AG18,$L18,0),0)&lt;($F18*MAX(0,MIN($AG18,(Setup!$C$5-Setup!$C$7))-Setup!$C$4)+$F18*Setup!$C$8*MAX(0,MIN($AG18,Setup!$C$5)-MAX((Setup!$C$5-Setup!$C$7),Setup!$C$4))+$W18/4*MAX(0,MIN($AG18,Setup!$C$5+4)-MAX(Setup!$C$5,Setup!$C$4))+$F18*Setup!$C$14*MAX(0,$AG18-MAX(Setup!$C$5+4,Setup!$C$4))),"Runs out before this order can land","OK"))))</f>
        <v/>
      </c>
      <c r="AJ18" s="78" t="str">
        <f>IF($R18&lt;&gt;"OK","",IF($AB18=0,0,IF($AL18="Too slow: send it all fast",$AB18,$AR18)))</f>
        <v/>
      </c>
      <c r="AK18" s="78" t="str">
        <f>IF($R18&lt;&gt;"OK","",$AB18-$AJ18)</f>
        <v/>
      </c>
      <c r="AL18" s="78" t="str">
        <f>IF($R18&lt;&gt;"OK","",IF($AB18=0,"",IF($AB18-$AR18=0,"Nothing left over",IF($O18="Domestic",IF($AG18&lt;=Setup!$C$6+Setup!$C$20+1,"Later units can go by Domestic","Too slow: send it all fast"),IF($AS18+$N18+Setup!$C$25+Setup!$C$11&lt;=Setup!$C$6+Setup!$C$20+1,"Later units can go by Ocean long",IF($AS18+$N18+Setup!$C$26+Setup!$C$11&lt;=Setup!$C$6+Setup!$C$20+1,"Later units can go by Ocean short",IF($AS18+$N18+Setup!$C$27+Setup!$C$11&lt;=Setup!$C$6+Setup!$C$20+1,"Later units can go by Air",IF($AS18+$N18+Setup!$C$28+Setup!$C$11&lt;=Setup!$C$6+Setup!$C$20+1,"Later units can go by Express","Too slow: send it all fast"))))))))</f>
        <v/>
      </c>
      <c r="AM18" s="94" t="str">
        <f>IF($R18&lt;&gt;"OK","",$E18-$D18)</f>
        <v/>
      </c>
      <c r="AN18" s="95" t="str">
        <f>IF($R18&lt;&gt;"OK","",($E18-$D18)/$D18)</f>
        <v/>
      </c>
      <c r="AO18" s="95" t="str">
        <f>IF($R18&lt;&gt;"OK","",IF($AB18&gt;0,$AN18+IF($C18="Evergreen",1000,0),""))</f>
        <v/>
      </c>
      <c r="AP18" s="78" t="str">
        <f>IF(OR($R18&lt;&gt;"OK",$AO18=""),"",COUNTIF($AO$6:$AO$205,"&gt;"&amp;$AO18)+COUNTIF($AO$6:$AO18,$AO18))</f>
        <v/>
      </c>
      <c r="AQ18" s="78" t="str">
        <f>IF(OR($R18&lt;&gt;"OK",$AP18=""),"",INDEX('Buy list'!$G$5:$G$204,$AP18))</f>
        <v/>
      </c>
      <c r="AR18" s="78" t="str">
        <f>IF($R18&lt;&gt;"OK","",IF($AB18=0,0,MIN($AB18,CEILING(MAX(0,($F18*MAX(0,MIN((Setup!$C$6+1+Setup!$C$20),(Setup!$C$5-Setup!$C$7))-Setup!$C$4)+$F18*Setup!$C$8*MAX(0,MIN((Setup!$C$6+1+Setup!$C$20),Setup!$C$5)-MAX((Setup!$C$5-Setup!$C$7),Setup!$C$4))+$W18/4*MAX(0,MIN((Setup!$C$6+1+Setup!$C$20),Setup!$C$5+4)-MAX(Setup!$C$5,Setup!$C$4))+$F18*Setup!$C$14*MAX(0,(Setup!$C$6+1+Setup!$C$20)-MAX(Setup!$C$5+4,Setup!$C$4)))+$Y18-$K18-IF(AND($L18&lt;&gt;"",$L18&gt;0),IF($M18&lt;=Setup!$C$10,$L18,0),0)),IF(OR($P18="",$P18&lt;=0),1,$P18)))))</f>
        <v/>
      </c>
      <c r="AS18" s="96" t="str">
        <f>IF($R18&lt;&gt;"OK","",IF(AND($O18&lt;&gt;"Domestic",ISNUMBER(Setup!$C$22),Setup!$C$22&gt;Setup!$C$4),Setup!$C$22,Setup!$C$4))</f>
        <v/>
      </c>
      <c r="AT18" s="96" t="str">
        <f>IF($R18&lt;&gt;"OK","",IF($AB18=0,"",IF($O18="Domestic",$AG18,$AS18+$N18+Setup!$C$27+Setup!$C$11)))</f>
        <v/>
      </c>
    </row>
    <row r="19" ht="15" customHeight="1" s="46">
      <c r="A19" s="70" t="n"/>
      <c r="B19" s="70" t="n"/>
      <c r="C19" s="70" t="n"/>
      <c r="D19" s="85" t="n"/>
      <c r="E19" s="85" t="n"/>
      <c r="F19" s="86" t="n"/>
      <c r="G19" s="87" t="n"/>
      <c r="H19" s="88" t="n"/>
      <c r="I19" s="89" t="n"/>
      <c r="J19" s="90" t="n"/>
      <c r="K19" s="87" t="n"/>
      <c r="L19" s="87" t="n"/>
      <c r="M19" s="91" t="n"/>
      <c r="N19" s="92" t="n"/>
      <c r="O19" s="70" t="n"/>
      <c r="P19" s="92" t="n"/>
      <c r="Q19" s="87" t="n"/>
      <c r="R19" s="79" t="str">
        <f>IF($A19="","",IF($C19="","Missing: type",IF(OR($D19="",$D19&lt;=0),"Missing: unit cost",IF($E19="","Missing: unit price",IF($F19="","Missing: daily sales",IF($K19="","Missing: on hand",IF($N19="","Missing: production days",IF($O19="","Missing: freight mode",IF(ISNA(MATCH($O19,Setup!$B$25:$B$29,0)),"Unknown freight mode",IF(AND($L19&lt;&gt;"",$L19&gt;0,$M19=""),"Missing: on-order arrival date","OK"))))))))))</f>
        <v/>
      </c>
      <c r="S19" s="78" t="str">
        <f>IF($R19&lt;&gt;"OK","",IF($G19="","",ROUND($G19/IF(OR($H19="",$H19&lt;=0),4,$H19)*4,0)))</f>
        <v/>
      </c>
      <c r="T19" s="78" t="str">
        <f>IF($R19&lt;&gt;"OK","",ROUND(IF($G19="",$F19*4*Setup!$C$19,$G19/IF(OR($H19="",$H19&lt;=0),4,$H19)*4*(1+IF($I19="",Setup!$C$16,$I19)))*IF($J19="",1,$J19),0))</f>
        <v/>
      </c>
      <c r="U19" s="78" t="str">
        <f>IF($R19&lt;&gt;"OK","",ROUND($T19*Setup!$C$17,0))</f>
        <v/>
      </c>
      <c r="V19" s="78" t="str">
        <f>IF($R19&lt;&gt;"OK","",ROUND($T19*Setup!$C$18,0))</f>
        <v/>
      </c>
      <c r="W19" s="78" t="str">
        <f>IF($R19&lt;&gt;"OK","",IF($C19="Evergreen",$V19,IF($C19="Seasonal or new",$U19,$T19)))</f>
        <v/>
      </c>
      <c r="X19" s="78" t="str">
        <f>IF($R19&lt;&gt;"OK","",ROUND(($F19*MAX(0,MIN(Setup!$C$13+1,(Setup!$C$5-Setup!$C$7))-Setup!$C$4)+$F19*Setup!$C$8*MAX(0,MIN(Setup!$C$13+1,Setup!$C$5)-MAX((Setup!$C$5-Setup!$C$7),Setup!$C$4))+$W19/4*MAX(0,MIN(Setup!$C$13+1,Setup!$C$5+4)-MAX(Setup!$C$5,Setup!$C$4))+$F19*Setup!$C$14*MAX(0,Setup!$C$13+1-MAX(Setup!$C$5+4,Setup!$C$4))),0))</f>
        <v/>
      </c>
      <c r="Y19" s="78" t="str">
        <f>IF($R19&lt;&gt;"OK","",ROUND($F19*Setup!$C$15,0))</f>
        <v/>
      </c>
      <c r="Z19" s="78" t="str">
        <f>IF($R19&lt;&gt;"OK","",IF(AND($L19&lt;&gt;"",$L19&gt;0),IF($M19&lt;=Setup!$C$13,$L19,0),0))</f>
        <v/>
      </c>
      <c r="AA19" s="78" t="str">
        <f>IF($R19&lt;&gt;"OK","",MAX(0,$X19+$Y19-$K19-$Z19))</f>
        <v/>
      </c>
      <c r="AB19" s="78" t="str">
        <f>IF($R19&lt;&gt;"OK","",IF($AA19=0,0,CEILING(MAX($AA19,IF($Q19="",0,$Q19)),IF(OR($P19="",$P19&lt;=0),1,$P19))))</f>
        <v/>
      </c>
      <c r="AC19" s="78" t="str">
        <f>IF($R19&lt;&gt;"OK","",$AB19*$D19)</f>
        <v/>
      </c>
      <c r="AD19" s="93" t="str">
        <f>IF($R19&lt;&gt;"OK","",INDEX(Setup!$D$25:$D$29,MATCH($O19,Setup!$B$25:$B$29,0)))</f>
        <v/>
      </c>
      <c r="AE19" s="93" t="str">
        <f>IF($R19&lt;&gt;"OK","",$AD19-$N19)</f>
        <v/>
      </c>
      <c r="AF19" s="79" t="str">
        <f>IF($R19&lt;&gt;"OK","",IF($AB19=0,"No order needed",IF($AE19&gt;=$AS19,"Order by the deadline",IF(AND($O19&lt;&gt;"Domestic",Setup!$D$27-$N19&gt;=$AS19),"Late by this mode: fly it",IF(Setup!$D$28-$N19&gt;=$AS19,"Late: Express courier only",IF($AG19&lt;Setup!$C$5,"Tight: lands before Black Friday",IF(AND($O19&lt;&gt;"Domestic",$AT19&lt;Setup!$C$5),"Tight: by Air lands before Black Friday",IF($AS19+$N19+Setup!$C$28+Setup!$C$11&lt;Setup!$C$5,"Tight: by Express lands before Black Friday","Too late: ration"))))))))</f>
        <v/>
      </c>
      <c r="AG19" s="93" t="str">
        <f>IF($R19&lt;&gt;"OK","",IF($AB19=0,"",$AS19+$N19+INDEX(Setup!$C$25:$C$29,MATCH($O19,Setup!$B$25:$B$29,0))+Setup!$C$11))</f>
        <v/>
      </c>
      <c r="AH19" s="93" t="str">
        <f>IF($R19&lt;&gt;"OK","",IF($F19&lt;=0,"",INT(IF($K19&lt;($F19*MAX(0,(Setup!$C$5-Setup!$C$7)-Setup!$C$4)),Setup!$C$4+$K19/$F19,IF($K19&lt;($F19*MAX(0,(Setup!$C$5-Setup!$C$7)-Setup!$C$4))+($F19*Setup!$C$8*MAX(0,Setup!$C$5-MAX((Setup!$C$5-Setup!$C$7),Setup!$C$4))),MAX((Setup!$C$5-Setup!$C$7),Setup!$C$4)+($K19-($F19*MAX(0,(Setup!$C$5-Setup!$C$7)-Setup!$C$4)))/($F19*Setup!$C$8),IF(AND($W19&gt;0,$K19&lt;($F19*MAX(0,(Setup!$C$5-Setup!$C$7)-Setup!$C$4))+($F19*Setup!$C$8*MAX(0,Setup!$C$5-MAX((Setup!$C$5-Setup!$C$7),Setup!$C$4)))+($W19/4*MAX(0,Setup!$C$5+4-MAX(Setup!$C$5,Setup!$C$4)))),MAX(Setup!$C$5,Setup!$C$4)+($K19-($F19*MAX(0,(Setup!$C$5-Setup!$C$7)-Setup!$C$4))-($F19*Setup!$C$8*MAX(0,Setup!$C$5-MAX((Setup!$C$5-Setup!$C$7),Setup!$C$4))))/($W19/4),MAX(Setup!$C$5+4,Setup!$C$4)+($K19-($F19*MAX(0,(Setup!$C$5-Setup!$C$7)-Setup!$C$4))-($F19*Setup!$C$8*MAX(0,Setup!$C$5-MAX((Setup!$C$5-Setup!$C$7),Setup!$C$4)))-($W19/4*MAX(0,Setup!$C$5+4-MAX(Setup!$C$5,Setup!$C$4))))/($F19*Setup!$C$14)))))))</f>
        <v/>
      </c>
      <c r="AI19" s="79" t="str">
        <f>IF($R19&lt;&gt;"OK","",IF(AND($L19&lt;&gt;"",$L19&gt;0,ISNUMBER($AH19),$M19&gt;$AH19),"Runs out before the incoming delivery arrives",IF($AB19=0,"OK",IF($K19+IF(AND($L19&lt;&gt;"",$L19&gt;0),IF($M19&lt;=$AG19,$L19,0),0)&lt;($F19*MAX(0,MIN($AG19,(Setup!$C$5-Setup!$C$7))-Setup!$C$4)+$F19*Setup!$C$8*MAX(0,MIN($AG19,Setup!$C$5)-MAX((Setup!$C$5-Setup!$C$7),Setup!$C$4))+$W19/4*MAX(0,MIN($AG19,Setup!$C$5+4)-MAX(Setup!$C$5,Setup!$C$4))+$F19*Setup!$C$14*MAX(0,$AG19-MAX(Setup!$C$5+4,Setup!$C$4))),"Runs out before this order can land","OK"))))</f>
        <v/>
      </c>
      <c r="AJ19" s="78" t="str">
        <f>IF($R19&lt;&gt;"OK","",IF($AB19=0,0,IF($AL19="Too slow: send it all fast",$AB19,$AR19)))</f>
        <v/>
      </c>
      <c r="AK19" s="78" t="str">
        <f>IF($R19&lt;&gt;"OK","",$AB19-$AJ19)</f>
        <v/>
      </c>
      <c r="AL19" s="78" t="str">
        <f>IF($R19&lt;&gt;"OK","",IF($AB19=0,"",IF($AB19-$AR19=0,"Nothing left over",IF($O19="Domestic",IF($AG19&lt;=Setup!$C$6+Setup!$C$20+1,"Later units can go by Domestic","Too slow: send it all fast"),IF($AS19+$N19+Setup!$C$25+Setup!$C$11&lt;=Setup!$C$6+Setup!$C$20+1,"Later units can go by Ocean long",IF($AS19+$N19+Setup!$C$26+Setup!$C$11&lt;=Setup!$C$6+Setup!$C$20+1,"Later units can go by Ocean short",IF($AS19+$N19+Setup!$C$27+Setup!$C$11&lt;=Setup!$C$6+Setup!$C$20+1,"Later units can go by Air",IF($AS19+$N19+Setup!$C$28+Setup!$C$11&lt;=Setup!$C$6+Setup!$C$20+1,"Later units can go by Express","Too slow: send it all fast"))))))))</f>
        <v/>
      </c>
      <c r="AM19" s="94" t="str">
        <f>IF($R19&lt;&gt;"OK","",$E19-$D19)</f>
        <v/>
      </c>
      <c r="AN19" s="95" t="str">
        <f>IF($R19&lt;&gt;"OK","",($E19-$D19)/$D19)</f>
        <v/>
      </c>
      <c r="AO19" s="95" t="str">
        <f>IF($R19&lt;&gt;"OK","",IF($AB19&gt;0,$AN19+IF($C19="Evergreen",1000,0),""))</f>
        <v/>
      </c>
      <c r="AP19" s="78" t="str">
        <f>IF(OR($R19&lt;&gt;"OK",$AO19=""),"",COUNTIF($AO$6:$AO$205,"&gt;"&amp;$AO19)+COUNTIF($AO$6:$AO19,$AO19))</f>
        <v/>
      </c>
      <c r="AQ19" s="78" t="str">
        <f>IF(OR($R19&lt;&gt;"OK",$AP19=""),"",INDEX('Buy list'!$G$5:$G$204,$AP19))</f>
        <v/>
      </c>
      <c r="AR19" s="78" t="str">
        <f>IF($R19&lt;&gt;"OK","",IF($AB19=0,0,MIN($AB19,CEILING(MAX(0,($F19*MAX(0,MIN((Setup!$C$6+1+Setup!$C$20),(Setup!$C$5-Setup!$C$7))-Setup!$C$4)+$F19*Setup!$C$8*MAX(0,MIN((Setup!$C$6+1+Setup!$C$20),Setup!$C$5)-MAX((Setup!$C$5-Setup!$C$7),Setup!$C$4))+$W19/4*MAX(0,MIN((Setup!$C$6+1+Setup!$C$20),Setup!$C$5+4)-MAX(Setup!$C$5,Setup!$C$4))+$F19*Setup!$C$14*MAX(0,(Setup!$C$6+1+Setup!$C$20)-MAX(Setup!$C$5+4,Setup!$C$4)))+$Y19-$K19-IF(AND($L19&lt;&gt;"",$L19&gt;0),IF($M19&lt;=Setup!$C$10,$L19,0),0)),IF(OR($P19="",$P19&lt;=0),1,$P19)))))</f>
        <v/>
      </c>
      <c r="AS19" s="96" t="str">
        <f>IF($R19&lt;&gt;"OK","",IF(AND($O19&lt;&gt;"Domestic",ISNUMBER(Setup!$C$22),Setup!$C$22&gt;Setup!$C$4),Setup!$C$22,Setup!$C$4))</f>
        <v/>
      </c>
      <c r="AT19" s="96" t="str">
        <f>IF($R19&lt;&gt;"OK","",IF($AB19=0,"",IF($O19="Domestic",$AG19,$AS19+$N19+Setup!$C$27+Setup!$C$11)))</f>
        <v/>
      </c>
    </row>
    <row r="20" ht="15" customHeight="1" s="46">
      <c r="A20" s="70" t="n"/>
      <c r="B20" s="70" t="n"/>
      <c r="C20" s="70" t="n"/>
      <c r="D20" s="85" t="n"/>
      <c r="E20" s="85" t="n"/>
      <c r="F20" s="86" t="n"/>
      <c r="G20" s="87" t="n"/>
      <c r="H20" s="88" t="n"/>
      <c r="I20" s="89" t="n"/>
      <c r="J20" s="90" t="n"/>
      <c r="K20" s="87" t="n"/>
      <c r="L20" s="87" t="n"/>
      <c r="M20" s="91" t="n"/>
      <c r="N20" s="92" t="n"/>
      <c r="O20" s="70" t="n"/>
      <c r="P20" s="92" t="n"/>
      <c r="Q20" s="87" t="n"/>
      <c r="R20" s="79" t="str">
        <f>IF($A20="","",IF($C20="","Missing: type",IF(OR($D20="",$D20&lt;=0),"Missing: unit cost",IF($E20="","Missing: unit price",IF($F20="","Missing: daily sales",IF($K20="","Missing: on hand",IF($N20="","Missing: production days",IF($O20="","Missing: freight mode",IF(ISNA(MATCH($O20,Setup!$B$25:$B$29,0)),"Unknown freight mode",IF(AND($L20&lt;&gt;"",$L20&gt;0,$M20=""),"Missing: on-order arrival date","OK"))))))))))</f>
        <v/>
      </c>
      <c r="S20" s="78" t="str">
        <f>IF($R20&lt;&gt;"OK","",IF($G20="","",ROUND($G20/IF(OR($H20="",$H20&lt;=0),4,$H20)*4,0)))</f>
        <v/>
      </c>
      <c r="T20" s="78" t="str">
        <f>IF($R20&lt;&gt;"OK","",ROUND(IF($G20="",$F20*4*Setup!$C$19,$G20/IF(OR($H20="",$H20&lt;=0),4,$H20)*4*(1+IF($I20="",Setup!$C$16,$I20)))*IF($J20="",1,$J20),0))</f>
        <v/>
      </c>
      <c r="U20" s="78" t="str">
        <f>IF($R20&lt;&gt;"OK","",ROUND($T20*Setup!$C$17,0))</f>
        <v/>
      </c>
      <c r="V20" s="78" t="str">
        <f>IF($R20&lt;&gt;"OK","",ROUND($T20*Setup!$C$18,0))</f>
        <v/>
      </c>
      <c r="W20" s="78" t="str">
        <f>IF($R20&lt;&gt;"OK","",IF($C20="Evergreen",$V20,IF($C20="Seasonal or new",$U20,$T20)))</f>
        <v/>
      </c>
      <c r="X20" s="78" t="str">
        <f>IF($R20&lt;&gt;"OK","",ROUND(($F20*MAX(0,MIN(Setup!$C$13+1,(Setup!$C$5-Setup!$C$7))-Setup!$C$4)+$F20*Setup!$C$8*MAX(0,MIN(Setup!$C$13+1,Setup!$C$5)-MAX((Setup!$C$5-Setup!$C$7),Setup!$C$4))+$W20/4*MAX(0,MIN(Setup!$C$13+1,Setup!$C$5+4)-MAX(Setup!$C$5,Setup!$C$4))+$F20*Setup!$C$14*MAX(0,Setup!$C$13+1-MAX(Setup!$C$5+4,Setup!$C$4))),0))</f>
        <v/>
      </c>
      <c r="Y20" s="78" t="str">
        <f>IF($R20&lt;&gt;"OK","",ROUND($F20*Setup!$C$15,0))</f>
        <v/>
      </c>
      <c r="Z20" s="78" t="str">
        <f>IF($R20&lt;&gt;"OK","",IF(AND($L20&lt;&gt;"",$L20&gt;0),IF($M20&lt;=Setup!$C$13,$L20,0),0))</f>
        <v/>
      </c>
      <c r="AA20" s="78" t="str">
        <f>IF($R20&lt;&gt;"OK","",MAX(0,$X20+$Y20-$K20-$Z20))</f>
        <v/>
      </c>
      <c r="AB20" s="78" t="str">
        <f>IF($R20&lt;&gt;"OK","",IF($AA20=0,0,CEILING(MAX($AA20,IF($Q20="",0,$Q20)),IF(OR($P20="",$P20&lt;=0),1,$P20))))</f>
        <v/>
      </c>
      <c r="AC20" s="78" t="str">
        <f>IF($R20&lt;&gt;"OK","",$AB20*$D20)</f>
        <v/>
      </c>
      <c r="AD20" s="93" t="str">
        <f>IF($R20&lt;&gt;"OK","",INDEX(Setup!$D$25:$D$29,MATCH($O20,Setup!$B$25:$B$29,0)))</f>
        <v/>
      </c>
      <c r="AE20" s="93" t="str">
        <f>IF($R20&lt;&gt;"OK","",$AD20-$N20)</f>
        <v/>
      </c>
      <c r="AF20" s="79" t="str">
        <f>IF($R20&lt;&gt;"OK","",IF($AB20=0,"No order needed",IF($AE20&gt;=$AS20,"Order by the deadline",IF(AND($O20&lt;&gt;"Domestic",Setup!$D$27-$N20&gt;=$AS20),"Late by this mode: fly it",IF(Setup!$D$28-$N20&gt;=$AS20,"Late: Express courier only",IF($AG20&lt;Setup!$C$5,"Tight: lands before Black Friday",IF(AND($O20&lt;&gt;"Domestic",$AT20&lt;Setup!$C$5),"Tight: by Air lands before Black Friday",IF($AS20+$N20+Setup!$C$28+Setup!$C$11&lt;Setup!$C$5,"Tight: by Express lands before Black Friday","Too late: ration"))))))))</f>
        <v/>
      </c>
      <c r="AG20" s="93" t="str">
        <f>IF($R20&lt;&gt;"OK","",IF($AB20=0,"",$AS20+$N20+INDEX(Setup!$C$25:$C$29,MATCH($O20,Setup!$B$25:$B$29,0))+Setup!$C$11))</f>
        <v/>
      </c>
      <c r="AH20" s="93" t="str">
        <f>IF($R20&lt;&gt;"OK","",IF($F20&lt;=0,"",INT(IF($K20&lt;($F20*MAX(0,(Setup!$C$5-Setup!$C$7)-Setup!$C$4)),Setup!$C$4+$K20/$F20,IF($K20&lt;($F20*MAX(0,(Setup!$C$5-Setup!$C$7)-Setup!$C$4))+($F20*Setup!$C$8*MAX(0,Setup!$C$5-MAX((Setup!$C$5-Setup!$C$7),Setup!$C$4))),MAX((Setup!$C$5-Setup!$C$7),Setup!$C$4)+($K20-($F20*MAX(0,(Setup!$C$5-Setup!$C$7)-Setup!$C$4)))/($F20*Setup!$C$8),IF(AND($W20&gt;0,$K20&lt;($F20*MAX(0,(Setup!$C$5-Setup!$C$7)-Setup!$C$4))+($F20*Setup!$C$8*MAX(0,Setup!$C$5-MAX((Setup!$C$5-Setup!$C$7),Setup!$C$4)))+($W20/4*MAX(0,Setup!$C$5+4-MAX(Setup!$C$5,Setup!$C$4)))),MAX(Setup!$C$5,Setup!$C$4)+($K20-($F20*MAX(0,(Setup!$C$5-Setup!$C$7)-Setup!$C$4))-($F20*Setup!$C$8*MAX(0,Setup!$C$5-MAX((Setup!$C$5-Setup!$C$7),Setup!$C$4))))/($W20/4),MAX(Setup!$C$5+4,Setup!$C$4)+($K20-($F20*MAX(0,(Setup!$C$5-Setup!$C$7)-Setup!$C$4))-($F20*Setup!$C$8*MAX(0,Setup!$C$5-MAX((Setup!$C$5-Setup!$C$7),Setup!$C$4)))-($W20/4*MAX(0,Setup!$C$5+4-MAX(Setup!$C$5,Setup!$C$4))))/($F20*Setup!$C$14)))))))</f>
        <v/>
      </c>
      <c r="AI20" s="79" t="str">
        <f>IF($R20&lt;&gt;"OK","",IF(AND($L20&lt;&gt;"",$L20&gt;0,ISNUMBER($AH20),$M20&gt;$AH20),"Runs out before the incoming delivery arrives",IF($AB20=0,"OK",IF($K20+IF(AND($L20&lt;&gt;"",$L20&gt;0),IF($M20&lt;=$AG20,$L20,0),0)&lt;($F20*MAX(0,MIN($AG20,(Setup!$C$5-Setup!$C$7))-Setup!$C$4)+$F20*Setup!$C$8*MAX(0,MIN($AG20,Setup!$C$5)-MAX((Setup!$C$5-Setup!$C$7),Setup!$C$4))+$W20/4*MAX(0,MIN($AG20,Setup!$C$5+4)-MAX(Setup!$C$5,Setup!$C$4))+$F20*Setup!$C$14*MAX(0,$AG20-MAX(Setup!$C$5+4,Setup!$C$4))),"Runs out before this order can land","OK"))))</f>
        <v/>
      </c>
      <c r="AJ20" s="78" t="str">
        <f>IF($R20&lt;&gt;"OK","",IF($AB20=0,0,IF($AL20="Too slow: send it all fast",$AB20,$AR20)))</f>
        <v/>
      </c>
      <c r="AK20" s="78" t="str">
        <f>IF($R20&lt;&gt;"OK","",$AB20-$AJ20)</f>
        <v/>
      </c>
      <c r="AL20" s="78" t="str">
        <f>IF($R20&lt;&gt;"OK","",IF($AB20=0,"",IF($AB20-$AR20=0,"Nothing left over",IF($O20="Domestic",IF($AG20&lt;=Setup!$C$6+Setup!$C$20+1,"Later units can go by Domestic","Too slow: send it all fast"),IF($AS20+$N20+Setup!$C$25+Setup!$C$11&lt;=Setup!$C$6+Setup!$C$20+1,"Later units can go by Ocean long",IF($AS20+$N20+Setup!$C$26+Setup!$C$11&lt;=Setup!$C$6+Setup!$C$20+1,"Later units can go by Ocean short",IF($AS20+$N20+Setup!$C$27+Setup!$C$11&lt;=Setup!$C$6+Setup!$C$20+1,"Later units can go by Air",IF($AS20+$N20+Setup!$C$28+Setup!$C$11&lt;=Setup!$C$6+Setup!$C$20+1,"Later units can go by Express","Too slow: send it all fast"))))))))</f>
        <v/>
      </c>
      <c r="AM20" s="94" t="str">
        <f>IF($R20&lt;&gt;"OK","",$E20-$D20)</f>
        <v/>
      </c>
      <c r="AN20" s="95" t="str">
        <f>IF($R20&lt;&gt;"OK","",($E20-$D20)/$D20)</f>
        <v/>
      </c>
      <c r="AO20" s="95" t="str">
        <f>IF($R20&lt;&gt;"OK","",IF($AB20&gt;0,$AN20+IF($C20="Evergreen",1000,0),""))</f>
        <v/>
      </c>
      <c r="AP20" s="78" t="str">
        <f>IF(OR($R20&lt;&gt;"OK",$AO20=""),"",COUNTIF($AO$6:$AO$205,"&gt;"&amp;$AO20)+COUNTIF($AO$6:$AO20,$AO20))</f>
        <v/>
      </c>
      <c r="AQ20" s="78" t="str">
        <f>IF(OR($R20&lt;&gt;"OK",$AP20=""),"",INDEX('Buy list'!$G$5:$G$204,$AP20))</f>
        <v/>
      </c>
      <c r="AR20" s="78" t="str">
        <f>IF($R20&lt;&gt;"OK","",IF($AB20=0,0,MIN($AB20,CEILING(MAX(0,($F20*MAX(0,MIN((Setup!$C$6+1+Setup!$C$20),(Setup!$C$5-Setup!$C$7))-Setup!$C$4)+$F20*Setup!$C$8*MAX(0,MIN((Setup!$C$6+1+Setup!$C$20),Setup!$C$5)-MAX((Setup!$C$5-Setup!$C$7),Setup!$C$4))+$W20/4*MAX(0,MIN((Setup!$C$6+1+Setup!$C$20),Setup!$C$5+4)-MAX(Setup!$C$5,Setup!$C$4))+$F20*Setup!$C$14*MAX(0,(Setup!$C$6+1+Setup!$C$20)-MAX(Setup!$C$5+4,Setup!$C$4)))+$Y20-$K20-IF(AND($L20&lt;&gt;"",$L20&gt;0),IF($M20&lt;=Setup!$C$10,$L20,0),0)),IF(OR($P20="",$P20&lt;=0),1,$P20)))))</f>
        <v/>
      </c>
      <c r="AS20" s="96" t="str">
        <f>IF($R20&lt;&gt;"OK","",IF(AND($O20&lt;&gt;"Domestic",ISNUMBER(Setup!$C$22),Setup!$C$22&gt;Setup!$C$4),Setup!$C$22,Setup!$C$4))</f>
        <v/>
      </c>
      <c r="AT20" s="96" t="str">
        <f>IF($R20&lt;&gt;"OK","",IF($AB20=0,"",IF($O20="Domestic",$AG20,$AS20+$N20+Setup!$C$27+Setup!$C$11)))</f>
        <v/>
      </c>
    </row>
    <row r="21" ht="15" customHeight="1" s="46">
      <c r="A21" s="70" t="n"/>
      <c r="B21" s="70" t="n"/>
      <c r="C21" s="70" t="n"/>
      <c r="D21" s="85" t="n"/>
      <c r="E21" s="85" t="n"/>
      <c r="F21" s="86" t="n"/>
      <c r="G21" s="87" t="n"/>
      <c r="H21" s="88" t="n"/>
      <c r="I21" s="89" t="n"/>
      <c r="J21" s="90" t="n"/>
      <c r="K21" s="87" t="n"/>
      <c r="L21" s="87" t="n"/>
      <c r="M21" s="91" t="n"/>
      <c r="N21" s="92" t="n"/>
      <c r="O21" s="70" t="n"/>
      <c r="P21" s="92" t="n"/>
      <c r="Q21" s="87" t="n"/>
      <c r="R21" s="79" t="str">
        <f>IF($A21="","",IF($C21="","Missing: type",IF(OR($D21="",$D21&lt;=0),"Missing: unit cost",IF($E21="","Missing: unit price",IF($F21="","Missing: daily sales",IF($K21="","Missing: on hand",IF($N21="","Missing: production days",IF($O21="","Missing: freight mode",IF(ISNA(MATCH($O21,Setup!$B$25:$B$29,0)),"Unknown freight mode",IF(AND($L21&lt;&gt;"",$L21&gt;0,$M21=""),"Missing: on-order arrival date","OK"))))))))))</f>
        <v/>
      </c>
      <c r="S21" s="78" t="str">
        <f>IF($R21&lt;&gt;"OK","",IF($G21="","",ROUND($G21/IF(OR($H21="",$H21&lt;=0),4,$H21)*4,0)))</f>
        <v/>
      </c>
      <c r="T21" s="78" t="str">
        <f>IF($R21&lt;&gt;"OK","",ROUND(IF($G21="",$F21*4*Setup!$C$19,$G21/IF(OR($H21="",$H21&lt;=0),4,$H21)*4*(1+IF($I21="",Setup!$C$16,$I21)))*IF($J21="",1,$J21),0))</f>
        <v/>
      </c>
      <c r="U21" s="78" t="str">
        <f>IF($R21&lt;&gt;"OK","",ROUND($T21*Setup!$C$17,0))</f>
        <v/>
      </c>
      <c r="V21" s="78" t="str">
        <f>IF($R21&lt;&gt;"OK","",ROUND($T21*Setup!$C$18,0))</f>
        <v/>
      </c>
      <c r="W21" s="78" t="str">
        <f>IF($R21&lt;&gt;"OK","",IF($C21="Evergreen",$V21,IF($C21="Seasonal or new",$U21,$T21)))</f>
        <v/>
      </c>
      <c r="X21" s="78" t="str">
        <f>IF($R21&lt;&gt;"OK","",ROUND(($F21*MAX(0,MIN(Setup!$C$13+1,(Setup!$C$5-Setup!$C$7))-Setup!$C$4)+$F21*Setup!$C$8*MAX(0,MIN(Setup!$C$13+1,Setup!$C$5)-MAX((Setup!$C$5-Setup!$C$7),Setup!$C$4))+$W21/4*MAX(0,MIN(Setup!$C$13+1,Setup!$C$5+4)-MAX(Setup!$C$5,Setup!$C$4))+$F21*Setup!$C$14*MAX(0,Setup!$C$13+1-MAX(Setup!$C$5+4,Setup!$C$4))),0))</f>
        <v/>
      </c>
      <c r="Y21" s="78" t="str">
        <f>IF($R21&lt;&gt;"OK","",ROUND($F21*Setup!$C$15,0))</f>
        <v/>
      </c>
      <c r="Z21" s="78" t="str">
        <f>IF($R21&lt;&gt;"OK","",IF(AND($L21&lt;&gt;"",$L21&gt;0),IF($M21&lt;=Setup!$C$13,$L21,0),0))</f>
        <v/>
      </c>
      <c r="AA21" s="78" t="str">
        <f>IF($R21&lt;&gt;"OK","",MAX(0,$X21+$Y21-$K21-$Z21))</f>
        <v/>
      </c>
      <c r="AB21" s="78" t="str">
        <f>IF($R21&lt;&gt;"OK","",IF($AA21=0,0,CEILING(MAX($AA21,IF($Q21="",0,$Q21)),IF(OR($P21="",$P21&lt;=0),1,$P21))))</f>
        <v/>
      </c>
      <c r="AC21" s="78" t="str">
        <f>IF($R21&lt;&gt;"OK","",$AB21*$D21)</f>
        <v/>
      </c>
      <c r="AD21" s="93" t="str">
        <f>IF($R21&lt;&gt;"OK","",INDEX(Setup!$D$25:$D$29,MATCH($O21,Setup!$B$25:$B$29,0)))</f>
        <v/>
      </c>
      <c r="AE21" s="93" t="str">
        <f>IF($R21&lt;&gt;"OK","",$AD21-$N21)</f>
        <v/>
      </c>
      <c r="AF21" s="79" t="str">
        <f>IF($R21&lt;&gt;"OK","",IF($AB21=0,"No order needed",IF($AE21&gt;=$AS21,"Order by the deadline",IF(AND($O21&lt;&gt;"Domestic",Setup!$D$27-$N21&gt;=$AS21),"Late by this mode: fly it",IF(Setup!$D$28-$N21&gt;=$AS21,"Late: Express courier only",IF($AG21&lt;Setup!$C$5,"Tight: lands before Black Friday",IF(AND($O21&lt;&gt;"Domestic",$AT21&lt;Setup!$C$5),"Tight: by Air lands before Black Friday",IF($AS21+$N21+Setup!$C$28+Setup!$C$11&lt;Setup!$C$5,"Tight: by Express lands before Black Friday","Too late: ration"))))))))</f>
        <v/>
      </c>
      <c r="AG21" s="93" t="str">
        <f>IF($R21&lt;&gt;"OK","",IF($AB21=0,"",$AS21+$N21+INDEX(Setup!$C$25:$C$29,MATCH($O21,Setup!$B$25:$B$29,0))+Setup!$C$11))</f>
        <v/>
      </c>
      <c r="AH21" s="93" t="str">
        <f>IF($R21&lt;&gt;"OK","",IF($F21&lt;=0,"",INT(IF($K21&lt;($F21*MAX(0,(Setup!$C$5-Setup!$C$7)-Setup!$C$4)),Setup!$C$4+$K21/$F21,IF($K21&lt;($F21*MAX(0,(Setup!$C$5-Setup!$C$7)-Setup!$C$4))+($F21*Setup!$C$8*MAX(0,Setup!$C$5-MAX((Setup!$C$5-Setup!$C$7),Setup!$C$4))),MAX((Setup!$C$5-Setup!$C$7),Setup!$C$4)+($K21-($F21*MAX(0,(Setup!$C$5-Setup!$C$7)-Setup!$C$4)))/($F21*Setup!$C$8),IF(AND($W21&gt;0,$K21&lt;($F21*MAX(0,(Setup!$C$5-Setup!$C$7)-Setup!$C$4))+($F21*Setup!$C$8*MAX(0,Setup!$C$5-MAX((Setup!$C$5-Setup!$C$7),Setup!$C$4)))+($W21/4*MAX(0,Setup!$C$5+4-MAX(Setup!$C$5,Setup!$C$4)))),MAX(Setup!$C$5,Setup!$C$4)+($K21-($F21*MAX(0,(Setup!$C$5-Setup!$C$7)-Setup!$C$4))-($F21*Setup!$C$8*MAX(0,Setup!$C$5-MAX((Setup!$C$5-Setup!$C$7),Setup!$C$4))))/($W21/4),MAX(Setup!$C$5+4,Setup!$C$4)+($K21-($F21*MAX(0,(Setup!$C$5-Setup!$C$7)-Setup!$C$4))-($F21*Setup!$C$8*MAX(0,Setup!$C$5-MAX((Setup!$C$5-Setup!$C$7),Setup!$C$4)))-($W21/4*MAX(0,Setup!$C$5+4-MAX(Setup!$C$5,Setup!$C$4))))/($F21*Setup!$C$14)))))))</f>
        <v/>
      </c>
      <c r="AI21" s="79" t="str">
        <f>IF($R21&lt;&gt;"OK","",IF(AND($L21&lt;&gt;"",$L21&gt;0,ISNUMBER($AH21),$M21&gt;$AH21),"Runs out before the incoming delivery arrives",IF($AB21=0,"OK",IF($K21+IF(AND($L21&lt;&gt;"",$L21&gt;0),IF($M21&lt;=$AG21,$L21,0),0)&lt;($F21*MAX(0,MIN($AG21,(Setup!$C$5-Setup!$C$7))-Setup!$C$4)+$F21*Setup!$C$8*MAX(0,MIN($AG21,Setup!$C$5)-MAX((Setup!$C$5-Setup!$C$7),Setup!$C$4))+$W21/4*MAX(0,MIN($AG21,Setup!$C$5+4)-MAX(Setup!$C$5,Setup!$C$4))+$F21*Setup!$C$14*MAX(0,$AG21-MAX(Setup!$C$5+4,Setup!$C$4))),"Runs out before this order can land","OK"))))</f>
        <v/>
      </c>
      <c r="AJ21" s="78" t="str">
        <f>IF($R21&lt;&gt;"OK","",IF($AB21=0,0,IF($AL21="Too slow: send it all fast",$AB21,$AR21)))</f>
        <v/>
      </c>
      <c r="AK21" s="78" t="str">
        <f>IF($R21&lt;&gt;"OK","",$AB21-$AJ21)</f>
        <v/>
      </c>
      <c r="AL21" s="78" t="str">
        <f>IF($R21&lt;&gt;"OK","",IF($AB21=0,"",IF($AB21-$AR21=0,"Nothing left over",IF($O21="Domestic",IF($AG21&lt;=Setup!$C$6+Setup!$C$20+1,"Later units can go by Domestic","Too slow: send it all fast"),IF($AS21+$N21+Setup!$C$25+Setup!$C$11&lt;=Setup!$C$6+Setup!$C$20+1,"Later units can go by Ocean long",IF($AS21+$N21+Setup!$C$26+Setup!$C$11&lt;=Setup!$C$6+Setup!$C$20+1,"Later units can go by Ocean short",IF($AS21+$N21+Setup!$C$27+Setup!$C$11&lt;=Setup!$C$6+Setup!$C$20+1,"Later units can go by Air",IF($AS21+$N21+Setup!$C$28+Setup!$C$11&lt;=Setup!$C$6+Setup!$C$20+1,"Later units can go by Express","Too slow: send it all fast"))))))))</f>
        <v/>
      </c>
      <c r="AM21" s="94" t="str">
        <f>IF($R21&lt;&gt;"OK","",$E21-$D21)</f>
        <v/>
      </c>
      <c r="AN21" s="95" t="str">
        <f>IF($R21&lt;&gt;"OK","",($E21-$D21)/$D21)</f>
        <v/>
      </c>
      <c r="AO21" s="95" t="str">
        <f>IF($R21&lt;&gt;"OK","",IF($AB21&gt;0,$AN21+IF($C21="Evergreen",1000,0),""))</f>
        <v/>
      </c>
      <c r="AP21" s="78" t="str">
        <f>IF(OR($R21&lt;&gt;"OK",$AO21=""),"",COUNTIF($AO$6:$AO$205,"&gt;"&amp;$AO21)+COUNTIF($AO$6:$AO21,$AO21))</f>
        <v/>
      </c>
      <c r="AQ21" s="78" t="str">
        <f>IF(OR($R21&lt;&gt;"OK",$AP21=""),"",INDEX('Buy list'!$G$5:$G$204,$AP21))</f>
        <v/>
      </c>
      <c r="AR21" s="78" t="str">
        <f>IF($R21&lt;&gt;"OK","",IF($AB21=0,0,MIN($AB21,CEILING(MAX(0,($F21*MAX(0,MIN((Setup!$C$6+1+Setup!$C$20),(Setup!$C$5-Setup!$C$7))-Setup!$C$4)+$F21*Setup!$C$8*MAX(0,MIN((Setup!$C$6+1+Setup!$C$20),Setup!$C$5)-MAX((Setup!$C$5-Setup!$C$7),Setup!$C$4))+$W21/4*MAX(0,MIN((Setup!$C$6+1+Setup!$C$20),Setup!$C$5+4)-MAX(Setup!$C$5,Setup!$C$4))+$F21*Setup!$C$14*MAX(0,(Setup!$C$6+1+Setup!$C$20)-MAX(Setup!$C$5+4,Setup!$C$4)))+$Y21-$K21-IF(AND($L21&lt;&gt;"",$L21&gt;0),IF($M21&lt;=Setup!$C$10,$L21,0),0)),IF(OR($P21="",$P21&lt;=0),1,$P21)))))</f>
        <v/>
      </c>
      <c r="AS21" s="96" t="str">
        <f>IF($R21&lt;&gt;"OK","",IF(AND($O21&lt;&gt;"Domestic",ISNUMBER(Setup!$C$22),Setup!$C$22&gt;Setup!$C$4),Setup!$C$22,Setup!$C$4))</f>
        <v/>
      </c>
      <c r="AT21" s="96" t="str">
        <f>IF($R21&lt;&gt;"OK","",IF($AB21=0,"",IF($O21="Domestic",$AG21,$AS21+$N21+Setup!$C$27+Setup!$C$11)))</f>
        <v/>
      </c>
    </row>
    <row r="22" ht="15" customHeight="1" s="46">
      <c r="A22" s="70" t="n"/>
      <c r="B22" s="70" t="n"/>
      <c r="C22" s="70" t="n"/>
      <c r="D22" s="85" t="n"/>
      <c r="E22" s="85" t="n"/>
      <c r="F22" s="86" t="n"/>
      <c r="G22" s="87" t="n"/>
      <c r="H22" s="88" t="n"/>
      <c r="I22" s="89" t="n"/>
      <c r="J22" s="90" t="n"/>
      <c r="K22" s="87" t="n"/>
      <c r="L22" s="87" t="n"/>
      <c r="M22" s="91" t="n"/>
      <c r="N22" s="92" t="n"/>
      <c r="O22" s="70" t="n"/>
      <c r="P22" s="92" t="n"/>
      <c r="Q22" s="87" t="n"/>
      <c r="R22" s="79" t="str">
        <f>IF($A22="","",IF($C22="","Missing: type",IF(OR($D22="",$D22&lt;=0),"Missing: unit cost",IF($E22="","Missing: unit price",IF($F22="","Missing: daily sales",IF($K22="","Missing: on hand",IF($N22="","Missing: production days",IF($O22="","Missing: freight mode",IF(ISNA(MATCH($O22,Setup!$B$25:$B$29,0)),"Unknown freight mode",IF(AND($L22&lt;&gt;"",$L22&gt;0,$M22=""),"Missing: on-order arrival date","OK"))))))))))</f>
        <v/>
      </c>
      <c r="S22" s="78" t="str">
        <f>IF($R22&lt;&gt;"OK","",IF($G22="","",ROUND($G22/IF(OR($H22="",$H22&lt;=0),4,$H22)*4,0)))</f>
        <v/>
      </c>
      <c r="T22" s="78" t="str">
        <f>IF($R22&lt;&gt;"OK","",ROUND(IF($G22="",$F22*4*Setup!$C$19,$G22/IF(OR($H22="",$H22&lt;=0),4,$H22)*4*(1+IF($I22="",Setup!$C$16,$I22)))*IF($J22="",1,$J22),0))</f>
        <v/>
      </c>
      <c r="U22" s="78" t="str">
        <f>IF($R22&lt;&gt;"OK","",ROUND($T22*Setup!$C$17,0))</f>
        <v/>
      </c>
      <c r="V22" s="78" t="str">
        <f>IF($R22&lt;&gt;"OK","",ROUND($T22*Setup!$C$18,0))</f>
        <v/>
      </c>
      <c r="W22" s="78" t="str">
        <f>IF($R22&lt;&gt;"OK","",IF($C22="Evergreen",$V22,IF($C22="Seasonal or new",$U22,$T22)))</f>
        <v/>
      </c>
      <c r="X22" s="78" t="str">
        <f>IF($R22&lt;&gt;"OK","",ROUND(($F22*MAX(0,MIN(Setup!$C$13+1,(Setup!$C$5-Setup!$C$7))-Setup!$C$4)+$F22*Setup!$C$8*MAX(0,MIN(Setup!$C$13+1,Setup!$C$5)-MAX((Setup!$C$5-Setup!$C$7),Setup!$C$4))+$W22/4*MAX(0,MIN(Setup!$C$13+1,Setup!$C$5+4)-MAX(Setup!$C$5,Setup!$C$4))+$F22*Setup!$C$14*MAX(0,Setup!$C$13+1-MAX(Setup!$C$5+4,Setup!$C$4))),0))</f>
        <v/>
      </c>
      <c r="Y22" s="78" t="str">
        <f>IF($R22&lt;&gt;"OK","",ROUND($F22*Setup!$C$15,0))</f>
        <v/>
      </c>
      <c r="Z22" s="78" t="str">
        <f>IF($R22&lt;&gt;"OK","",IF(AND($L22&lt;&gt;"",$L22&gt;0),IF($M22&lt;=Setup!$C$13,$L22,0),0))</f>
        <v/>
      </c>
      <c r="AA22" s="78" t="str">
        <f>IF($R22&lt;&gt;"OK","",MAX(0,$X22+$Y22-$K22-$Z22))</f>
        <v/>
      </c>
      <c r="AB22" s="78" t="str">
        <f>IF($R22&lt;&gt;"OK","",IF($AA22=0,0,CEILING(MAX($AA22,IF($Q22="",0,$Q22)),IF(OR($P22="",$P22&lt;=0),1,$P22))))</f>
        <v/>
      </c>
      <c r="AC22" s="78" t="str">
        <f>IF($R22&lt;&gt;"OK","",$AB22*$D22)</f>
        <v/>
      </c>
      <c r="AD22" s="93" t="str">
        <f>IF($R22&lt;&gt;"OK","",INDEX(Setup!$D$25:$D$29,MATCH($O22,Setup!$B$25:$B$29,0)))</f>
        <v/>
      </c>
      <c r="AE22" s="93" t="str">
        <f>IF($R22&lt;&gt;"OK","",$AD22-$N22)</f>
        <v/>
      </c>
      <c r="AF22" s="79" t="str">
        <f>IF($R22&lt;&gt;"OK","",IF($AB22=0,"No order needed",IF($AE22&gt;=$AS22,"Order by the deadline",IF(AND($O22&lt;&gt;"Domestic",Setup!$D$27-$N22&gt;=$AS22),"Late by this mode: fly it",IF(Setup!$D$28-$N22&gt;=$AS22,"Late: Express courier only",IF($AG22&lt;Setup!$C$5,"Tight: lands before Black Friday",IF(AND($O22&lt;&gt;"Domestic",$AT22&lt;Setup!$C$5),"Tight: by Air lands before Black Friday",IF($AS22+$N22+Setup!$C$28+Setup!$C$11&lt;Setup!$C$5,"Tight: by Express lands before Black Friday","Too late: ration"))))))))</f>
        <v/>
      </c>
      <c r="AG22" s="93" t="str">
        <f>IF($R22&lt;&gt;"OK","",IF($AB22=0,"",$AS22+$N22+INDEX(Setup!$C$25:$C$29,MATCH($O22,Setup!$B$25:$B$29,0))+Setup!$C$11))</f>
        <v/>
      </c>
      <c r="AH22" s="93" t="str">
        <f>IF($R22&lt;&gt;"OK","",IF($F22&lt;=0,"",INT(IF($K22&lt;($F22*MAX(0,(Setup!$C$5-Setup!$C$7)-Setup!$C$4)),Setup!$C$4+$K22/$F22,IF($K22&lt;($F22*MAX(0,(Setup!$C$5-Setup!$C$7)-Setup!$C$4))+($F22*Setup!$C$8*MAX(0,Setup!$C$5-MAX((Setup!$C$5-Setup!$C$7),Setup!$C$4))),MAX((Setup!$C$5-Setup!$C$7),Setup!$C$4)+($K22-($F22*MAX(0,(Setup!$C$5-Setup!$C$7)-Setup!$C$4)))/($F22*Setup!$C$8),IF(AND($W22&gt;0,$K22&lt;($F22*MAX(0,(Setup!$C$5-Setup!$C$7)-Setup!$C$4))+($F22*Setup!$C$8*MAX(0,Setup!$C$5-MAX((Setup!$C$5-Setup!$C$7),Setup!$C$4)))+($W22/4*MAX(0,Setup!$C$5+4-MAX(Setup!$C$5,Setup!$C$4)))),MAX(Setup!$C$5,Setup!$C$4)+($K22-($F22*MAX(0,(Setup!$C$5-Setup!$C$7)-Setup!$C$4))-($F22*Setup!$C$8*MAX(0,Setup!$C$5-MAX((Setup!$C$5-Setup!$C$7),Setup!$C$4))))/($W22/4),MAX(Setup!$C$5+4,Setup!$C$4)+($K22-($F22*MAX(0,(Setup!$C$5-Setup!$C$7)-Setup!$C$4))-($F22*Setup!$C$8*MAX(0,Setup!$C$5-MAX((Setup!$C$5-Setup!$C$7),Setup!$C$4)))-($W22/4*MAX(0,Setup!$C$5+4-MAX(Setup!$C$5,Setup!$C$4))))/($F22*Setup!$C$14)))))))</f>
        <v/>
      </c>
      <c r="AI22" s="79" t="str">
        <f>IF($R22&lt;&gt;"OK","",IF(AND($L22&lt;&gt;"",$L22&gt;0,ISNUMBER($AH22),$M22&gt;$AH22),"Runs out before the incoming delivery arrives",IF($AB22=0,"OK",IF($K22+IF(AND($L22&lt;&gt;"",$L22&gt;0),IF($M22&lt;=$AG22,$L22,0),0)&lt;($F22*MAX(0,MIN($AG22,(Setup!$C$5-Setup!$C$7))-Setup!$C$4)+$F22*Setup!$C$8*MAX(0,MIN($AG22,Setup!$C$5)-MAX((Setup!$C$5-Setup!$C$7),Setup!$C$4))+$W22/4*MAX(0,MIN($AG22,Setup!$C$5+4)-MAX(Setup!$C$5,Setup!$C$4))+$F22*Setup!$C$14*MAX(0,$AG22-MAX(Setup!$C$5+4,Setup!$C$4))),"Runs out before this order can land","OK"))))</f>
        <v/>
      </c>
      <c r="AJ22" s="78" t="str">
        <f>IF($R22&lt;&gt;"OK","",IF($AB22=0,0,IF($AL22="Too slow: send it all fast",$AB22,$AR22)))</f>
        <v/>
      </c>
      <c r="AK22" s="78" t="str">
        <f>IF($R22&lt;&gt;"OK","",$AB22-$AJ22)</f>
        <v/>
      </c>
      <c r="AL22" s="78" t="str">
        <f>IF($R22&lt;&gt;"OK","",IF($AB22=0,"",IF($AB22-$AR22=0,"Nothing left over",IF($O22="Domestic",IF($AG22&lt;=Setup!$C$6+Setup!$C$20+1,"Later units can go by Domestic","Too slow: send it all fast"),IF($AS22+$N22+Setup!$C$25+Setup!$C$11&lt;=Setup!$C$6+Setup!$C$20+1,"Later units can go by Ocean long",IF($AS22+$N22+Setup!$C$26+Setup!$C$11&lt;=Setup!$C$6+Setup!$C$20+1,"Later units can go by Ocean short",IF($AS22+$N22+Setup!$C$27+Setup!$C$11&lt;=Setup!$C$6+Setup!$C$20+1,"Later units can go by Air",IF($AS22+$N22+Setup!$C$28+Setup!$C$11&lt;=Setup!$C$6+Setup!$C$20+1,"Later units can go by Express","Too slow: send it all fast"))))))))</f>
        <v/>
      </c>
      <c r="AM22" s="94" t="str">
        <f>IF($R22&lt;&gt;"OK","",$E22-$D22)</f>
        <v/>
      </c>
      <c r="AN22" s="95" t="str">
        <f>IF($R22&lt;&gt;"OK","",($E22-$D22)/$D22)</f>
        <v/>
      </c>
      <c r="AO22" s="95" t="str">
        <f>IF($R22&lt;&gt;"OK","",IF($AB22&gt;0,$AN22+IF($C22="Evergreen",1000,0),""))</f>
        <v/>
      </c>
      <c r="AP22" s="78" t="str">
        <f>IF(OR($R22&lt;&gt;"OK",$AO22=""),"",COUNTIF($AO$6:$AO$205,"&gt;"&amp;$AO22)+COUNTIF($AO$6:$AO22,$AO22))</f>
        <v/>
      </c>
      <c r="AQ22" s="78" t="str">
        <f>IF(OR($R22&lt;&gt;"OK",$AP22=""),"",INDEX('Buy list'!$G$5:$G$204,$AP22))</f>
        <v/>
      </c>
      <c r="AR22" s="78" t="str">
        <f>IF($R22&lt;&gt;"OK","",IF($AB22=0,0,MIN($AB22,CEILING(MAX(0,($F22*MAX(0,MIN((Setup!$C$6+1+Setup!$C$20),(Setup!$C$5-Setup!$C$7))-Setup!$C$4)+$F22*Setup!$C$8*MAX(0,MIN((Setup!$C$6+1+Setup!$C$20),Setup!$C$5)-MAX((Setup!$C$5-Setup!$C$7),Setup!$C$4))+$W22/4*MAX(0,MIN((Setup!$C$6+1+Setup!$C$20),Setup!$C$5+4)-MAX(Setup!$C$5,Setup!$C$4))+$F22*Setup!$C$14*MAX(0,(Setup!$C$6+1+Setup!$C$20)-MAX(Setup!$C$5+4,Setup!$C$4)))+$Y22-$K22-IF(AND($L22&lt;&gt;"",$L22&gt;0),IF($M22&lt;=Setup!$C$10,$L22,0),0)),IF(OR($P22="",$P22&lt;=0),1,$P22)))))</f>
        <v/>
      </c>
      <c r="AS22" s="96" t="str">
        <f>IF($R22&lt;&gt;"OK","",IF(AND($O22&lt;&gt;"Domestic",ISNUMBER(Setup!$C$22),Setup!$C$22&gt;Setup!$C$4),Setup!$C$22,Setup!$C$4))</f>
        <v/>
      </c>
      <c r="AT22" s="96" t="str">
        <f>IF($R22&lt;&gt;"OK","",IF($AB22=0,"",IF($O22="Domestic",$AG22,$AS22+$N22+Setup!$C$27+Setup!$C$11)))</f>
        <v/>
      </c>
    </row>
    <row r="23" ht="15" customHeight="1" s="46">
      <c r="A23" s="70" t="n"/>
      <c r="B23" s="70" t="n"/>
      <c r="C23" s="70" t="n"/>
      <c r="D23" s="85" t="n"/>
      <c r="E23" s="85" t="n"/>
      <c r="F23" s="86" t="n"/>
      <c r="G23" s="87" t="n"/>
      <c r="H23" s="88" t="n"/>
      <c r="I23" s="89" t="n"/>
      <c r="J23" s="90" t="n"/>
      <c r="K23" s="87" t="n"/>
      <c r="L23" s="87" t="n"/>
      <c r="M23" s="91" t="n"/>
      <c r="N23" s="92" t="n"/>
      <c r="O23" s="70" t="n"/>
      <c r="P23" s="92" t="n"/>
      <c r="Q23" s="87" t="n"/>
      <c r="R23" s="79" t="str">
        <f>IF($A23="","",IF($C23="","Missing: type",IF(OR($D23="",$D23&lt;=0),"Missing: unit cost",IF($E23="","Missing: unit price",IF($F23="","Missing: daily sales",IF($K23="","Missing: on hand",IF($N23="","Missing: production days",IF($O23="","Missing: freight mode",IF(ISNA(MATCH($O23,Setup!$B$25:$B$29,0)),"Unknown freight mode",IF(AND($L23&lt;&gt;"",$L23&gt;0,$M23=""),"Missing: on-order arrival date","OK"))))))))))</f>
        <v/>
      </c>
      <c r="S23" s="78" t="str">
        <f>IF($R23&lt;&gt;"OK","",IF($G23="","",ROUND($G23/IF(OR($H23="",$H23&lt;=0),4,$H23)*4,0)))</f>
        <v/>
      </c>
      <c r="T23" s="78" t="str">
        <f>IF($R23&lt;&gt;"OK","",ROUND(IF($G23="",$F23*4*Setup!$C$19,$G23/IF(OR($H23="",$H23&lt;=0),4,$H23)*4*(1+IF($I23="",Setup!$C$16,$I23)))*IF($J23="",1,$J23),0))</f>
        <v/>
      </c>
      <c r="U23" s="78" t="str">
        <f>IF($R23&lt;&gt;"OK","",ROUND($T23*Setup!$C$17,0))</f>
        <v/>
      </c>
      <c r="V23" s="78" t="str">
        <f>IF($R23&lt;&gt;"OK","",ROUND($T23*Setup!$C$18,0))</f>
        <v/>
      </c>
      <c r="W23" s="78" t="str">
        <f>IF($R23&lt;&gt;"OK","",IF($C23="Evergreen",$V23,IF($C23="Seasonal or new",$U23,$T23)))</f>
        <v/>
      </c>
      <c r="X23" s="78" t="str">
        <f>IF($R23&lt;&gt;"OK","",ROUND(($F23*MAX(0,MIN(Setup!$C$13+1,(Setup!$C$5-Setup!$C$7))-Setup!$C$4)+$F23*Setup!$C$8*MAX(0,MIN(Setup!$C$13+1,Setup!$C$5)-MAX((Setup!$C$5-Setup!$C$7),Setup!$C$4))+$W23/4*MAX(0,MIN(Setup!$C$13+1,Setup!$C$5+4)-MAX(Setup!$C$5,Setup!$C$4))+$F23*Setup!$C$14*MAX(0,Setup!$C$13+1-MAX(Setup!$C$5+4,Setup!$C$4))),0))</f>
        <v/>
      </c>
      <c r="Y23" s="78" t="str">
        <f>IF($R23&lt;&gt;"OK","",ROUND($F23*Setup!$C$15,0))</f>
        <v/>
      </c>
      <c r="Z23" s="78" t="str">
        <f>IF($R23&lt;&gt;"OK","",IF(AND($L23&lt;&gt;"",$L23&gt;0),IF($M23&lt;=Setup!$C$13,$L23,0),0))</f>
        <v/>
      </c>
      <c r="AA23" s="78" t="str">
        <f>IF($R23&lt;&gt;"OK","",MAX(0,$X23+$Y23-$K23-$Z23))</f>
        <v/>
      </c>
      <c r="AB23" s="78" t="str">
        <f>IF($R23&lt;&gt;"OK","",IF($AA23=0,0,CEILING(MAX($AA23,IF($Q23="",0,$Q23)),IF(OR($P23="",$P23&lt;=0),1,$P23))))</f>
        <v/>
      </c>
      <c r="AC23" s="78" t="str">
        <f>IF($R23&lt;&gt;"OK","",$AB23*$D23)</f>
        <v/>
      </c>
      <c r="AD23" s="93" t="str">
        <f>IF($R23&lt;&gt;"OK","",INDEX(Setup!$D$25:$D$29,MATCH($O23,Setup!$B$25:$B$29,0)))</f>
        <v/>
      </c>
      <c r="AE23" s="93" t="str">
        <f>IF($R23&lt;&gt;"OK","",$AD23-$N23)</f>
        <v/>
      </c>
      <c r="AF23" s="79" t="str">
        <f>IF($R23&lt;&gt;"OK","",IF($AB23=0,"No order needed",IF($AE23&gt;=$AS23,"Order by the deadline",IF(AND($O23&lt;&gt;"Domestic",Setup!$D$27-$N23&gt;=$AS23),"Late by this mode: fly it",IF(Setup!$D$28-$N23&gt;=$AS23,"Late: Express courier only",IF($AG23&lt;Setup!$C$5,"Tight: lands before Black Friday",IF(AND($O23&lt;&gt;"Domestic",$AT23&lt;Setup!$C$5),"Tight: by Air lands before Black Friday",IF($AS23+$N23+Setup!$C$28+Setup!$C$11&lt;Setup!$C$5,"Tight: by Express lands before Black Friday","Too late: ration"))))))))</f>
        <v/>
      </c>
      <c r="AG23" s="93" t="str">
        <f>IF($R23&lt;&gt;"OK","",IF($AB23=0,"",$AS23+$N23+INDEX(Setup!$C$25:$C$29,MATCH($O23,Setup!$B$25:$B$29,0))+Setup!$C$11))</f>
        <v/>
      </c>
      <c r="AH23" s="93" t="str">
        <f>IF($R23&lt;&gt;"OK","",IF($F23&lt;=0,"",INT(IF($K23&lt;($F23*MAX(0,(Setup!$C$5-Setup!$C$7)-Setup!$C$4)),Setup!$C$4+$K23/$F23,IF($K23&lt;($F23*MAX(0,(Setup!$C$5-Setup!$C$7)-Setup!$C$4))+($F23*Setup!$C$8*MAX(0,Setup!$C$5-MAX((Setup!$C$5-Setup!$C$7),Setup!$C$4))),MAX((Setup!$C$5-Setup!$C$7),Setup!$C$4)+($K23-($F23*MAX(0,(Setup!$C$5-Setup!$C$7)-Setup!$C$4)))/($F23*Setup!$C$8),IF(AND($W23&gt;0,$K23&lt;($F23*MAX(0,(Setup!$C$5-Setup!$C$7)-Setup!$C$4))+($F23*Setup!$C$8*MAX(0,Setup!$C$5-MAX((Setup!$C$5-Setup!$C$7),Setup!$C$4)))+($W23/4*MAX(0,Setup!$C$5+4-MAX(Setup!$C$5,Setup!$C$4)))),MAX(Setup!$C$5,Setup!$C$4)+($K23-($F23*MAX(0,(Setup!$C$5-Setup!$C$7)-Setup!$C$4))-($F23*Setup!$C$8*MAX(0,Setup!$C$5-MAX((Setup!$C$5-Setup!$C$7),Setup!$C$4))))/($W23/4),MAX(Setup!$C$5+4,Setup!$C$4)+($K23-($F23*MAX(0,(Setup!$C$5-Setup!$C$7)-Setup!$C$4))-($F23*Setup!$C$8*MAX(0,Setup!$C$5-MAX((Setup!$C$5-Setup!$C$7),Setup!$C$4)))-($W23/4*MAX(0,Setup!$C$5+4-MAX(Setup!$C$5,Setup!$C$4))))/($F23*Setup!$C$14)))))))</f>
        <v/>
      </c>
      <c r="AI23" s="79" t="str">
        <f>IF($R23&lt;&gt;"OK","",IF(AND($L23&lt;&gt;"",$L23&gt;0,ISNUMBER($AH23),$M23&gt;$AH23),"Runs out before the incoming delivery arrives",IF($AB23=0,"OK",IF($K23+IF(AND($L23&lt;&gt;"",$L23&gt;0),IF($M23&lt;=$AG23,$L23,0),0)&lt;($F23*MAX(0,MIN($AG23,(Setup!$C$5-Setup!$C$7))-Setup!$C$4)+$F23*Setup!$C$8*MAX(0,MIN($AG23,Setup!$C$5)-MAX((Setup!$C$5-Setup!$C$7),Setup!$C$4))+$W23/4*MAX(0,MIN($AG23,Setup!$C$5+4)-MAX(Setup!$C$5,Setup!$C$4))+$F23*Setup!$C$14*MAX(0,$AG23-MAX(Setup!$C$5+4,Setup!$C$4))),"Runs out before this order can land","OK"))))</f>
        <v/>
      </c>
      <c r="AJ23" s="78" t="str">
        <f>IF($R23&lt;&gt;"OK","",IF($AB23=0,0,IF($AL23="Too slow: send it all fast",$AB23,$AR23)))</f>
        <v/>
      </c>
      <c r="AK23" s="78" t="str">
        <f>IF($R23&lt;&gt;"OK","",$AB23-$AJ23)</f>
        <v/>
      </c>
      <c r="AL23" s="78" t="str">
        <f>IF($R23&lt;&gt;"OK","",IF($AB23=0,"",IF($AB23-$AR23=0,"Nothing left over",IF($O23="Domestic",IF($AG23&lt;=Setup!$C$6+Setup!$C$20+1,"Later units can go by Domestic","Too slow: send it all fast"),IF($AS23+$N23+Setup!$C$25+Setup!$C$11&lt;=Setup!$C$6+Setup!$C$20+1,"Later units can go by Ocean long",IF($AS23+$N23+Setup!$C$26+Setup!$C$11&lt;=Setup!$C$6+Setup!$C$20+1,"Later units can go by Ocean short",IF($AS23+$N23+Setup!$C$27+Setup!$C$11&lt;=Setup!$C$6+Setup!$C$20+1,"Later units can go by Air",IF($AS23+$N23+Setup!$C$28+Setup!$C$11&lt;=Setup!$C$6+Setup!$C$20+1,"Later units can go by Express","Too slow: send it all fast"))))))))</f>
        <v/>
      </c>
      <c r="AM23" s="94" t="str">
        <f>IF($R23&lt;&gt;"OK","",$E23-$D23)</f>
        <v/>
      </c>
      <c r="AN23" s="95" t="str">
        <f>IF($R23&lt;&gt;"OK","",($E23-$D23)/$D23)</f>
        <v/>
      </c>
      <c r="AO23" s="95" t="str">
        <f>IF($R23&lt;&gt;"OK","",IF($AB23&gt;0,$AN23+IF($C23="Evergreen",1000,0),""))</f>
        <v/>
      </c>
      <c r="AP23" s="78" t="str">
        <f>IF(OR($R23&lt;&gt;"OK",$AO23=""),"",COUNTIF($AO$6:$AO$205,"&gt;"&amp;$AO23)+COUNTIF($AO$6:$AO23,$AO23))</f>
        <v/>
      </c>
      <c r="AQ23" s="78" t="str">
        <f>IF(OR($R23&lt;&gt;"OK",$AP23=""),"",INDEX('Buy list'!$G$5:$G$204,$AP23))</f>
        <v/>
      </c>
      <c r="AR23" s="78" t="str">
        <f>IF($R23&lt;&gt;"OK","",IF($AB23=0,0,MIN($AB23,CEILING(MAX(0,($F23*MAX(0,MIN((Setup!$C$6+1+Setup!$C$20),(Setup!$C$5-Setup!$C$7))-Setup!$C$4)+$F23*Setup!$C$8*MAX(0,MIN((Setup!$C$6+1+Setup!$C$20),Setup!$C$5)-MAX((Setup!$C$5-Setup!$C$7),Setup!$C$4))+$W23/4*MAX(0,MIN((Setup!$C$6+1+Setup!$C$20),Setup!$C$5+4)-MAX(Setup!$C$5,Setup!$C$4))+$F23*Setup!$C$14*MAX(0,(Setup!$C$6+1+Setup!$C$20)-MAX(Setup!$C$5+4,Setup!$C$4)))+$Y23-$K23-IF(AND($L23&lt;&gt;"",$L23&gt;0),IF($M23&lt;=Setup!$C$10,$L23,0),0)),IF(OR($P23="",$P23&lt;=0),1,$P23)))))</f>
        <v/>
      </c>
      <c r="AS23" s="96" t="str">
        <f>IF($R23&lt;&gt;"OK","",IF(AND($O23&lt;&gt;"Domestic",ISNUMBER(Setup!$C$22),Setup!$C$22&gt;Setup!$C$4),Setup!$C$22,Setup!$C$4))</f>
        <v/>
      </c>
      <c r="AT23" s="96" t="str">
        <f>IF($R23&lt;&gt;"OK","",IF($AB23=0,"",IF($O23="Domestic",$AG23,$AS23+$N23+Setup!$C$27+Setup!$C$11)))</f>
        <v/>
      </c>
    </row>
    <row r="24" ht="15" customHeight="1" s="46">
      <c r="A24" s="70" t="n"/>
      <c r="B24" s="70" t="n"/>
      <c r="C24" s="70" t="n"/>
      <c r="D24" s="85" t="n"/>
      <c r="E24" s="85" t="n"/>
      <c r="F24" s="86" t="n"/>
      <c r="G24" s="87" t="n"/>
      <c r="H24" s="88" t="n"/>
      <c r="I24" s="89" t="n"/>
      <c r="J24" s="90" t="n"/>
      <c r="K24" s="87" t="n"/>
      <c r="L24" s="87" t="n"/>
      <c r="M24" s="91" t="n"/>
      <c r="N24" s="92" t="n"/>
      <c r="O24" s="70" t="n"/>
      <c r="P24" s="92" t="n"/>
      <c r="Q24" s="87" t="n"/>
      <c r="R24" s="79" t="str">
        <f>IF($A24="","",IF($C24="","Missing: type",IF(OR($D24="",$D24&lt;=0),"Missing: unit cost",IF($E24="","Missing: unit price",IF($F24="","Missing: daily sales",IF($K24="","Missing: on hand",IF($N24="","Missing: production days",IF($O24="","Missing: freight mode",IF(ISNA(MATCH($O24,Setup!$B$25:$B$29,0)),"Unknown freight mode",IF(AND($L24&lt;&gt;"",$L24&gt;0,$M24=""),"Missing: on-order arrival date","OK"))))))))))</f>
        <v/>
      </c>
      <c r="S24" s="78" t="str">
        <f>IF($R24&lt;&gt;"OK","",IF($G24="","",ROUND($G24/IF(OR($H24="",$H24&lt;=0),4,$H24)*4,0)))</f>
        <v/>
      </c>
      <c r="T24" s="78" t="str">
        <f>IF($R24&lt;&gt;"OK","",ROUND(IF($G24="",$F24*4*Setup!$C$19,$G24/IF(OR($H24="",$H24&lt;=0),4,$H24)*4*(1+IF($I24="",Setup!$C$16,$I24)))*IF($J24="",1,$J24),0))</f>
        <v/>
      </c>
      <c r="U24" s="78" t="str">
        <f>IF($R24&lt;&gt;"OK","",ROUND($T24*Setup!$C$17,0))</f>
        <v/>
      </c>
      <c r="V24" s="78" t="str">
        <f>IF($R24&lt;&gt;"OK","",ROUND($T24*Setup!$C$18,0))</f>
        <v/>
      </c>
      <c r="W24" s="78" t="str">
        <f>IF($R24&lt;&gt;"OK","",IF($C24="Evergreen",$V24,IF($C24="Seasonal or new",$U24,$T24)))</f>
        <v/>
      </c>
      <c r="X24" s="78" t="str">
        <f>IF($R24&lt;&gt;"OK","",ROUND(($F24*MAX(0,MIN(Setup!$C$13+1,(Setup!$C$5-Setup!$C$7))-Setup!$C$4)+$F24*Setup!$C$8*MAX(0,MIN(Setup!$C$13+1,Setup!$C$5)-MAX((Setup!$C$5-Setup!$C$7),Setup!$C$4))+$W24/4*MAX(0,MIN(Setup!$C$13+1,Setup!$C$5+4)-MAX(Setup!$C$5,Setup!$C$4))+$F24*Setup!$C$14*MAX(0,Setup!$C$13+1-MAX(Setup!$C$5+4,Setup!$C$4))),0))</f>
        <v/>
      </c>
      <c r="Y24" s="78" t="str">
        <f>IF($R24&lt;&gt;"OK","",ROUND($F24*Setup!$C$15,0))</f>
        <v/>
      </c>
      <c r="Z24" s="78" t="str">
        <f>IF($R24&lt;&gt;"OK","",IF(AND($L24&lt;&gt;"",$L24&gt;0),IF($M24&lt;=Setup!$C$13,$L24,0),0))</f>
        <v/>
      </c>
      <c r="AA24" s="78" t="str">
        <f>IF($R24&lt;&gt;"OK","",MAX(0,$X24+$Y24-$K24-$Z24))</f>
        <v/>
      </c>
      <c r="AB24" s="78" t="str">
        <f>IF($R24&lt;&gt;"OK","",IF($AA24=0,0,CEILING(MAX($AA24,IF($Q24="",0,$Q24)),IF(OR($P24="",$P24&lt;=0),1,$P24))))</f>
        <v/>
      </c>
      <c r="AC24" s="78" t="str">
        <f>IF($R24&lt;&gt;"OK","",$AB24*$D24)</f>
        <v/>
      </c>
      <c r="AD24" s="93" t="str">
        <f>IF($R24&lt;&gt;"OK","",INDEX(Setup!$D$25:$D$29,MATCH($O24,Setup!$B$25:$B$29,0)))</f>
        <v/>
      </c>
      <c r="AE24" s="93" t="str">
        <f>IF($R24&lt;&gt;"OK","",$AD24-$N24)</f>
        <v/>
      </c>
      <c r="AF24" s="79" t="str">
        <f>IF($R24&lt;&gt;"OK","",IF($AB24=0,"No order needed",IF($AE24&gt;=$AS24,"Order by the deadline",IF(AND($O24&lt;&gt;"Domestic",Setup!$D$27-$N24&gt;=$AS24),"Late by this mode: fly it",IF(Setup!$D$28-$N24&gt;=$AS24,"Late: Express courier only",IF($AG24&lt;Setup!$C$5,"Tight: lands before Black Friday",IF(AND($O24&lt;&gt;"Domestic",$AT24&lt;Setup!$C$5),"Tight: by Air lands before Black Friday",IF($AS24+$N24+Setup!$C$28+Setup!$C$11&lt;Setup!$C$5,"Tight: by Express lands before Black Friday","Too late: ration"))))))))</f>
        <v/>
      </c>
      <c r="AG24" s="93" t="str">
        <f>IF($R24&lt;&gt;"OK","",IF($AB24=0,"",$AS24+$N24+INDEX(Setup!$C$25:$C$29,MATCH($O24,Setup!$B$25:$B$29,0))+Setup!$C$11))</f>
        <v/>
      </c>
      <c r="AH24" s="93" t="str">
        <f>IF($R24&lt;&gt;"OK","",IF($F24&lt;=0,"",INT(IF($K24&lt;($F24*MAX(0,(Setup!$C$5-Setup!$C$7)-Setup!$C$4)),Setup!$C$4+$K24/$F24,IF($K24&lt;($F24*MAX(0,(Setup!$C$5-Setup!$C$7)-Setup!$C$4))+($F24*Setup!$C$8*MAX(0,Setup!$C$5-MAX((Setup!$C$5-Setup!$C$7),Setup!$C$4))),MAX((Setup!$C$5-Setup!$C$7),Setup!$C$4)+($K24-($F24*MAX(0,(Setup!$C$5-Setup!$C$7)-Setup!$C$4)))/($F24*Setup!$C$8),IF(AND($W24&gt;0,$K24&lt;($F24*MAX(0,(Setup!$C$5-Setup!$C$7)-Setup!$C$4))+($F24*Setup!$C$8*MAX(0,Setup!$C$5-MAX((Setup!$C$5-Setup!$C$7),Setup!$C$4)))+($W24/4*MAX(0,Setup!$C$5+4-MAX(Setup!$C$5,Setup!$C$4)))),MAX(Setup!$C$5,Setup!$C$4)+($K24-($F24*MAX(0,(Setup!$C$5-Setup!$C$7)-Setup!$C$4))-($F24*Setup!$C$8*MAX(0,Setup!$C$5-MAX((Setup!$C$5-Setup!$C$7),Setup!$C$4))))/($W24/4),MAX(Setup!$C$5+4,Setup!$C$4)+($K24-($F24*MAX(0,(Setup!$C$5-Setup!$C$7)-Setup!$C$4))-($F24*Setup!$C$8*MAX(0,Setup!$C$5-MAX((Setup!$C$5-Setup!$C$7),Setup!$C$4)))-($W24/4*MAX(0,Setup!$C$5+4-MAX(Setup!$C$5,Setup!$C$4))))/($F24*Setup!$C$14)))))))</f>
        <v/>
      </c>
      <c r="AI24" s="79" t="str">
        <f>IF($R24&lt;&gt;"OK","",IF(AND($L24&lt;&gt;"",$L24&gt;0,ISNUMBER($AH24),$M24&gt;$AH24),"Runs out before the incoming delivery arrives",IF($AB24=0,"OK",IF($K24+IF(AND($L24&lt;&gt;"",$L24&gt;0),IF($M24&lt;=$AG24,$L24,0),0)&lt;($F24*MAX(0,MIN($AG24,(Setup!$C$5-Setup!$C$7))-Setup!$C$4)+$F24*Setup!$C$8*MAX(0,MIN($AG24,Setup!$C$5)-MAX((Setup!$C$5-Setup!$C$7),Setup!$C$4))+$W24/4*MAX(0,MIN($AG24,Setup!$C$5+4)-MAX(Setup!$C$5,Setup!$C$4))+$F24*Setup!$C$14*MAX(0,$AG24-MAX(Setup!$C$5+4,Setup!$C$4))),"Runs out before this order can land","OK"))))</f>
        <v/>
      </c>
      <c r="AJ24" s="78" t="str">
        <f>IF($R24&lt;&gt;"OK","",IF($AB24=0,0,IF($AL24="Too slow: send it all fast",$AB24,$AR24)))</f>
        <v/>
      </c>
      <c r="AK24" s="78" t="str">
        <f>IF($R24&lt;&gt;"OK","",$AB24-$AJ24)</f>
        <v/>
      </c>
      <c r="AL24" s="78" t="str">
        <f>IF($R24&lt;&gt;"OK","",IF($AB24=0,"",IF($AB24-$AR24=0,"Nothing left over",IF($O24="Domestic",IF($AG24&lt;=Setup!$C$6+Setup!$C$20+1,"Later units can go by Domestic","Too slow: send it all fast"),IF($AS24+$N24+Setup!$C$25+Setup!$C$11&lt;=Setup!$C$6+Setup!$C$20+1,"Later units can go by Ocean long",IF($AS24+$N24+Setup!$C$26+Setup!$C$11&lt;=Setup!$C$6+Setup!$C$20+1,"Later units can go by Ocean short",IF($AS24+$N24+Setup!$C$27+Setup!$C$11&lt;=Setup!$C$6+Setup!$C$20+1,"Later units can go by Air",IF($AS24+$N24+Setup!$C$28+Setup!$C$11&lt;=Setup!$C$6+Setup!$C$20+1,"Later units can go by Express","Too slow: send it all fast"))))))))</f>
        <v/>
      </c>
      <c r="AM24" s="94" t="str">
        <f>IF($R24&lt;&gt;"OK","",$E24-$D24)</f>
        <v/>
      </c>
      <c r="AN24" s="95" t="str">
        <f>IF($R24&lt;&gt;"OK","",($E24-$D24)/$D24)</f>
        <v/>
      </c>
      <c r="AO24" s="95" t="str">
        <f>IF($R24&lt;&gt;"OK","",IF($AB24&gt;0,$AN24+IF($C24="Evergreen",1000,0),""))</f>
        <v/>
      </c>
      <c r="AP24" s="78" t="str">
        <f>IF(OR($R24&lt;&gt;"OK",$AO24=""),"",COUNTIF($AO$6:$AO$205,"&gt;"&amp;$AO24)+COUNTIF($AO$6:$AO24,$AO24))</f>
        <v/>
      </c>
      <c r="AQ24" s="78" t="str">
        <f>IF(OR($R24&lt;&gt;"OK",$AP24=""),"",INDEX('Buy list'!$G$5:$G$204,$AP24))</f>
        <v/>
      </c>
      <c r="AR24" s="78" t="str">
        <f>IF($R24&lt;&gt;"OK","",IF($AB24=0,0,MIN($AB24,CEILING(MAX(0,($F24*MAX(0,MIN((Setup!$C$6+1+Setup!$C$20),(Setup!$C$5-Setup!$C$7))-Setup!$C$4)+$F24*Setup!$C$8*MAX(0,MIN((Setup!$C$6+1+Setup!$C$20),Setup!$C$5)-MAX((Setup!$C$5-Setup!$C$7),Setup!$C$4))+$W24/4*MAX(0,MIN((Setup!$C$6+1+Setup!$C$20),Setup!$C$5+4)-MAX(Setup!$C$5,Setup!$C$4))+$F24*Setup!$C$14*MAX(0,(Setup!$C$6+1+Setup!$C$20)-MAX(Setup!$C$5+4,Setup!$C$4)))+$Y24-$K24-IF(AND($L24&lt;&gt;"",$L24&gt;0),IF($M24&lt;=Setup!$C$10,$L24,0),0)),IF(OR($P24="",$P24&lt;=0),1,$P24)))))</f>
        <v/>
      </c>
      <c r="AS24" s="96" t="str">
        <f>IF($R24&lt;&gt;"OK","",IF(AND($O24&lt;&gt;"Domestic",ISNUMBER(Setup!$C$22),Setup!$C$22&gt;Setup!$C$4),Setup!$C$22,Setup!$C$4))</f>
        <v/>
      </c>
      <c r="AT24" s="96" t="str">
        <f>IF($R24&lt;&gt;"OK","",IF($AB24=0,"",IF($O24="Domestic",$AG24,$AS24+$N24+Setup!$C$27+Setup!$C$11)))</f>
        <v/>
      </c>
    </row>
    <row r="25" ht="15" customHeight="1" s="46">
      <c r="A25" s="70" t="n"/>
      <c r="B25" s="70" t="n"/>
      <c r="C25" s="70" t="n"/>
      <c r="D25" s="85" t="n"/>
      <c r="E25" s="85" t="n"/>
      <c r="F25" s="86" t="n"/>
      <c r="G25" s="87" t="n"/>
      <c r="H25" s="88" t="n"/>
      <c r="I25" s="89" t="n"/>
      <c r="J25" s="90" t="n"/>
      <c r="K25" s="87" t="n"/>
      <c r="L25" s="87" t="n"/>
      <c r="M25" s="91" t="n"/>
      <c r="N25" s="92" t="n"/>
      <c r="O25" s="70" t="n"/>
      <c r="P25" s="92" t="n"/>
      <c r="Q25" s="87" t="n"/>
      <c r="R25" s="79" t="str">
        <f>IF($A25="","",IF($C25="","Missing: type",IF(OR($D25="",$D25&lt;=0),"Missing: unit cost",IF($E25="","Missing: unit price",IF($F25="","Missing: daily sales",IF($K25="","Missing: on hand",IF($N25="","Missing: production days",IF($O25="","Missing: freight mode",IF(ISNA(MATCH($O25,Setup!$B$25:$B$29,0)),"Unknown freight mode",IF(AND($L25&lt;&gt;"",$L25&gt;0,$M25=""),"Missing: on-order arrival date","OK"))))))))))</f>
        <v/>
      </c>
      <c r="S25" s="78" t="str">
        <f>IF($R25&lt;&gt;"OK","",IF($G25="","",ROUND($G25/IF(OR($H25="",$H25&lt;=0),4,$H25)*4,0)))</f>
        <v/>
      </c>
      <c r="T25" s="78" t="str">
        <f>IF($R25&lt;&gt;"OK","",ROUND(IF($G25="",$F25*4*Setup!$C$19,$G25/IF(OR($H25="",$H25&lt;=0),4,$H25)*4*(1+IF($I25="",Setup!$C$16,$I25)))*IF($J25="",1,$J25),0))</f>
        <v/>
      </c>
      <c r="U25" s="78" t="str">
        <f>IF($R25&lt;&gt;"OK","",ROUND($T25*Setup!$C$17,0))</f>
        <v/>
      </c>
      <c r="V25" s="78" t="str">
        <f>IF($R25&lt;&gt;"OK","",ROUND($T25*Setup!$C$18,0))</f>
        <v/>
      </c>
      <c r="W25" s="78" t="str">
        <f>IF($R25&lt;&gt;"OK","",IF($C25="Evergreen",$V25,IF($C25="Seasonal or new",$U25,$T25)))</f>
        <v/>
      </c>
      <c r="X25" s="78" t="str">
        <f>IF($R25&lt;&gt;"OK","",ROUND(($F25*MAX(0,MIN(Setup!$C$13+1,(Setup!$C$5-Setup!$C$7))-Setup!$C$4)+$F25*Setup!$C$8*MAX(0,MIN(Setup!$C$13+1,Setup!$C$5)-MAX((Setup!$C$5-Setup!$C$7),Setup!$C$4))+$W25/4*MAX(0,MIN(Setup!$C$13+1,Setup!$C$5+4)-MAX(Setup!$C$5,Setup!$C$4))+$F25*Setup!$C$14*MAX(0,Setup!$C$13+1-MAX(Setup!$C$5+4,Setup!$C$4))),0))</f>
        <v/>
      </c>
      <c r="Y25" s="78" t="str">
        <f>IF($R25&lt;&gt;"OK","",ROUND($F25*Setup!$C$15,0))</f>
        <v/>
      </c>
      <c r="Z25" s="78" t="str">
        <f>IF($R25&lt;&gt;"OK","",IF(AND($L25&lt;&gt;"",$L25&gt;0),IF($M25&lt;=Setup!$C$13,$L25,0),0))</f>
        <v/>
      </c>
      <c r="AA25" s="78" t="str">
        <f>IF($R25&lt;&gt;"OK","",MAX(0,$X25+$Y25-$K25-$Z25))</f>
        <v/>
      </c>
      <c r="AB25" s="78" t="str">
        <f>IF($R25&lt;&gt;"OK","",IF($AA25=0,0,CEILING(MAX($AA25,IF($Q25="",0,$Q25)),IF(OR($P25="",$P25&lt;=0),1,$P25))))</f>
        <v/>
      </c>
      <c r="AC25" s="78" t="str">
        <f>IF($R25&lt;&gt;"OK","",$AB25*$D25)</f>
        <v/>
      </c>
      <c r="AD25" s="93" t="str">
        <f>IF($R25&lt;&gt;"OK","",INDEX(Setup!$D$25:$D$29,MATCH($O25,Setup!$B$25:$B$29,0)))</f>
        <v/>
      </c>
      <c r="AE25" s="93" t="str">
        <f>IF($R25&lt;&gt;"OK","",$AD25-$N25)</f>
        <v/>
      </c>
      <c r="AF25" s="79" t="str">
        <f>IF($R25&lt;&gt;"OK","",IF($AB25=0,"No order needed",IF($AE25&gt;=$AS25,"Order by the deadline",IF(AND($O25&lt;&gt;"Domestic",Setup!$D$27-$N25&gt;=$AS25),"Late by this mode: fly it",IF(Setup!$D$28-$N25&gt;=$AS25,"Late: Express courier only",IF($AG25&lt;Setup!$C$5,"Tight: lands before Black Friday",IF(AND($O25&lt;&gt;"Domestic",$AT25&lt;Setup!$C$5),"Tight: by Air lands before Black Friday",IF($AS25+$N25+Setup!$C$28+Setup!$C$11&lt;Setup!$C$5,"Tight: by Express lands before Black Friday","Too late: ration"))))))))</f>
        <v/>
      </c>
      <c r="AG25" s="93" t="str">
        <f>IF($R25&lt;&gt;"OK","",IF($AB25=0,"",$AS25+$N25+INDEX(Setup!$C$25:$C$29,MATCH($O25,Setup!$B$25:$B$29,0))+Setup!$C$11))</f>
        <v/>
      </c>
      <c r="AH25" s="93" t="str">
        <f>IF($R25&lt;&gt;"OK","",IF($F25&lt;=0,"",INT(IF($K25&lt;($F25*MAX(0,(Setup!$C$5-Setup!$C$7)-Setup!$C$4)),Setup!$C$4+$K25/$F25,IF($K25&lt;($F25*MAX(0,(Setup!$C$5-Setup!$C$7)-Setup!$C$4))+($F25*Setup!$C$8*MAX(0,Setup!$C$5-MAX((Setup!$C$5-Setup!$C$7),Setup!$C$4))),MAX((Setup!$C$5-Setup!$C$7),Setup!$C$4)+($K25-($F25*MAX(0,(Setup!$C$5-Setup!$C$7)-Setup!$C$4)))/($F25*Setup!$C$8),IF(AND($W25&gt;0,$K25&lt;($F25*MAX(0,(Setup!$C$5-Setup!$C$7)-Setup!$C$4))+($F25*Setup!$C$8*MAX(0,Setup!$C$5-MAX((Setup!$C$5-Setup!$C$7),Setup!$C$4)))+($W25/4*MAX(0,Setup!$C$5+4-MAX(Setup!$C$5,Setup!$C$4)))),MAX(Setup!$C$5,Setup!$C$4)+($K25-($F25*MAX(0,(Setup!$C$5-Setup!$C$7)-Setup!$C$4))-($F25*Setup!$C$8*MAX(0,Setup!$C$5-MAX((Setup!$C$5-Setup!$C$7),Setup!$C$4))))/($W25/4),MAX(Setup!$C$5+4,Setup!$C$4)+($K25-($F25*MAX(0,(Setup!$C$5-Setup!$C$7)-Setup!$C$4))-($F25*Setup!$C$8*MAX(0,Setup!$C$5-MAX((Setup!$C$5-Setup!$C$7),Setup!$C$4)))-($W25/4*MAX(0,Setup!$C$5+4-MAX(Setup!$C$5,Setup!$C$4))))/($F25*Setup!$C$14)))))))</f>
        <v/>
      </c>
      <c r="AI25" s="79" t="str">
        <f>IF($R25&lt;&gt;"OK","",IF(AND($L25&lt;&gt;"",$L25&gt;0,ISNUMBER($AH25),$M25&gt;$AH25),"Runs out before the incoming delivery arrives",IF($AB25=0,"OK",IF($K25+IF(AND($L25&lt;&gt;"",$L25&gt;0),IF($M25&lt;=$AG25,$L25,0),0)&lt;($F25*MAX(0,MIN($AG25,(Setup!$C$5-Setup!$C$7))-Setup!$C$4)+$F25*Setup!$C$8*MAX(0,MIN($AG25,Setup!$C$5)-MAX((Setup!$C$5-Setup!$C$7),Setup!$C$4))+$W25/4*MAX(0,MIN($AG25,Setup!$C$5+4)-MAX(Setup!$C$5,Setup!$C$4))+$F25*Setup!$C$14*MAX(0,$AG25-MAX(Setup!$C$5+4,Setup!$C$4))),"Runs out before this order can land","OK"))))</f>
        <v/>
      </c>
      <c r="AJ25" s="78" t="str">
        <f>IF($R25&lt;&gt;"OK","",IF($AB25=0,0,IF($AL25="Too slow: send it all fast",$AB25,$AR25)))</f>
        <v/>
      </c>
      <c r="AK25" s="78" t="str">
        <f>IF($R25&lt;&gt;"OK","",$AB25-$AJ25)</f>
        <v/>
      </c>
      <c r="AL25" s="78" t="str">
        <f>IF($R25&lt;&gt;"OK","",IF($AB25=0,"",IF($AB25-$AR25=0,"Nothing left over",IF($O25="Domestic",IF($AG25&lt;=Setup!$C$6+Setup!$C$20+1,"Later units can go by Domestic","Too slow: send it all fast"),IF($AS25+$N25+Setup!$C$25+Setup!$C$11&lt;=Setup!$C$6+Setup!$C$20+1,"Later units can go by Ocean long",IF($AS25+$N25+Setup!$C$26+Setup!$C$11&lt;=Setup!$C$6+Setup!$C$20+1,"Later units can go by Ocean short",IF($AS25+$N25+Setup!$C$27+Setup!$C$11&lt;=Setup!$C$6+Setup!$C$20+1,"Later units can go by Air",IF($AS25+$N25+Setup!$C$28+Setup!$C$11&lt;=Setup!$C$6+Setup!$C$20+1,"Later units can go by Express","Too slow: send it all fast"))))))))</f>
        <v/>
      </c>
      <c r="AM25" s="94" t="str">
        <f>IF($R25&lt;&gt;"OK","",$E25-$D25)</f>
        <v/>
      </c>
      <c r="AN25" s="95" t="str">
        <f>IF($R25&lt;&gt;"OK","",($E25-$D25)/$D25)</f>
        <v/>
      </c>
      <c r="AO25" s="95" t="str">
        <f>IF($R25&lt;&gt;"OK","",IF($AB25&gt;0,$AN25+IF($C25="Evergreen",1000,0),""))</f>
        <v/>
      </c>
      <c r="AP25" s="78" t="str">
        <f>IF(OR($R25&lt;&gt;"OK",$AO25=""),"",COUNTIF($AO$6:$AO$205,"&gt;"&amp;$AO25)+COUNTIF($AO$6:$AO25,$AO25))</f>
        <v/>
      </c>
      <c r="AQ25" s="78" t="str">
        <f>IF(OR($R25&lt;&gt;"OK",$AP25=""),"",INDEX('Buy list'!$G$5:$G$204,$AP25))</f>
        <v/>
      </c>
      <c r="AR25" s="78" t="str">
        <f>IF($R25&lt;&gt;"OK","",IF($AB25=0,0,MIN($AB25,CEILING(MAX(0,($F25*MAX(0,MIN((Setup!$C$6+1+Setup!$C$20),(Setup!$C$5-Setup!$C$7))-Setup!$C$4)+$F25*Setup!$C$8*MAX(0,MIN((Setup!$C$6+1+Setup!$C$20),Setup!$C$5)-MAX((Setup!$C$5-Setup!$C$7),Setup!$C$4))+$W25/4*MAX(0,MIN((Setup!$C$6+1+Setup!$C$20),Setup!$C$5+4)-MAX(Setup!$C$5,Setup!$C$4))+$F25*Setup!$C$14*MAX(0,(Setup!$C$6+1+Setup!$C$20)-MAX(Setup!$C$5+4,Setup!$C$4)))+$Y25-$K25-IF(AND($L25&lt;&gt;"",$L25&gt;0),IF($M25&lt;=Setup!$C$10,$L25,0),0)),IF(OR($P25="",$P25&lt;=0),1,$P25)))))</f>
        <v/>
      </c>
      <c r="AS25" s="96" t="str">
        <f>IF($R25&lt;&gt;"OK","",IF(AND($O25&lt;&gt;"Domestic",ISNUMBER(Setup!$C$22),Setup!$C$22&gt;Setup!$C$4),Setup!$C$22,Setup!$C$4))</f>
        <v/>
      </c>
      <c r="AT25" s="96" t="str">
        <f>IF($R25&lt;&gt;"OK","",IF($AB25=0,"",IF($O25="Domestic",$AG25,$AS25+$N25+Setup!$C$27+Setup!$C$11)))</f>
        <v/>
      </c>
    </row>
    <row r="26" ht="15" customHeight="1" s="46">
      <c r="A26" s="70" t="n"/>
      <c r="B26" s="70" t="n"/>
      <c r="C26" s="70" t="n"/>
      <c r="D26" s="85" t="n"/>
      <c r="E26" s="85" t="n"/>
      <c r="F26" s="86" t="n"/>
      <c r="G26" s="87" t="n"/>
      <c r="H26" s="88" t="n"/>
      <c r="I26" s="89" t="n"/>
      <c r="J26" s="90" t="n"/>
      <c r="K26" s="87" t="n"/>
      <c r="L26" s="87" t="n"/>
      <c r="M26" s="91" t="n"/>
      <c r="N26" s="92" t="n"/>
      <c r="O26" s="70" t="n"/>
      <c r="P26" s="92" t="n"/>
      <c r="Q26" s="87" t="n"/>
      <c r="R26" s="79" t="str">
        <f>IF($A26="","",IF($C26="","Missing: type",IF(OR($D26="",$D26&lt;=0),"Missing: unit cost",IF($E26="","Missing: unit price",IF($F26="","Missing: daily sales",IF($K26="","Missing: on hand",IF($N26="","Missing: production days",IF($O26="","Missing: freight mode",IF(ISNA(MATCH($O26,Setup!$B$25:$B$29,0)),"Unknown freight mode",IF(AND($L26&lt;&gt;"",$L26&gt;0,$M26=""),"Missing: on-order arrival date","OK"))))))))))</f>
        <v/>
      </c>
      <c r="S26" s="78" t="str">
        <f>IF($R26&lt;&gt;"OK","",IF($G26="","",ROUND($G26/IF(OR($H26="",$H26&lt;=0),4,$H26)*4,0)))</f>
        <v/>
      </c>
      <c r="T26" s="78" t="str">
        <f>IF($R26&lt;&gt;"OK","",ROUND(IF($G26="",$F26*4*Setup!$C$19,$G26/IF(OR($H26="",$H26&lt;=0),4,$H26)*4*(1+IF($I26="",Setup!$C$16,$I26)))*IF($J26="",1,$J26),0))</f>
        <v/>
      </c>
      <c r="U26" s="78" t="str">
        <f>IF($R26&lt;&gt;"OK","",ROUND($T26*Setup!$C$17,0))</f>
        <v/>
      </c>
      <c r="V26" s="78" t="str">
        <f>IF($R26&lt;&gt;"OK","",ROUND($T26*Setup!$C$18,0))</f>
        <v/>
      </c>
      <c r="W26" s="78" t="str">
        <f>IF($R26&lt;&gt;"OK","",IF($C26="Evergreen",$V26,IF($C26="Seasonal or new",$U26,$T26)))</f>
        <v/>
      </c>
      <c r="X26" s="78" t="str">
        <f>IF($R26&lt;&gt;"OK","",ROUND(($F26*MAX(0,MIN(Setup!$C$13+1,(Setup!$C$5-Setup!$C$7))-Setup!$C$4)+$F26*Setup!$C$8*MAX(0,MIN(Setup!$C$13+1,Setup!$C$5)-MAX((Setup!$C$5-Setup!$C$7),Setup!$C$4))+$W26/4*MAX(0,MIN(Setup!$C$13+1,Setup!$C$5+4)-MAX(Setup!$C$5,Setup!$C$4))+$F26*Setup!$C$14*MAX(0,Setup!$C$13+1-MAX(Setup!$C$5+4,Setup!$C$4))),0))</f>
        <v/>
      </c>
      <c r="Y26" s="78" t="str">
        <f>IF($R26&lt;&gt;"OK","",ROUND($F26*Setup!$C$15,0))</f>
        <v/>
      </c>
      <c r="Z26" s="78" t="str">
        <f>IF($R26&lt;&gt;"OK","",IF(AND($L26&lt;&gt;"",$L26&gt;0),IF($M26&lt;=Setup!$C$13,$L26,0),0))</f>
        <v/>
      </c>
      <c r="AA26" s="78" t="str">
        <f>IF($R26&lt;&gt;"OK","",MAX(0,$X26+$Y26-$K26-$Z26))</f>
        <v/>
      </c>
      <c r="AB26" s="78" t="str">
        <f>IF($R26&lt;&gt;"OK","",IF($AA26=0,0,CEILING(MAX($AA26,IF($Q26="",0,$Q26)),IF(OR($P26="",$P26&lt;=0),1,$P26))))</f>
        <v/>
      </c>
      <c r="AC26" s="78" t="str">
        <f>IF($R26&lt;&gt;"OK","",$AB26*$D26)</f>
        <v/>
      </c>
      <c r="AD26" s="93" t="str">
        <f>IF($R26&lt;&gt;"OK","",INDEX(Setup!$D$25:$D$29,MATCH($O26,Setup!$B$25:$B$29,0)))</f>
        <v/>
      </c>
      <c r="AE26" s="93" t="str">
        <f>IF($R26&lt;&gt;"OK","",$AD26-$N26)</f>
        <v/>
      </c>
      <c r="AF26" s="79" t="str">
        <f>IF($R26&lt;&gt;"OK","",IF($AB26=0,"No order needed",IF($AE26&gt;=$AS26,"Order by the deadline",IF(AND($O26&lt;&gt;"Domestic",Setup!$D$27-$N26&gt;=$AS26),"Late by this mode: fly it",IF(Setup!$D$28-$N26&gt;=$AS26,"Late: Express courier only",IF($AG26&lt;Setup!$C$5,"Tight: lands before Black Friday",IF(AND($O26&lt;&gt;"Domestic",$AT26&lt;Setup!$C$5),"Tight: by Air lands before Black Friday",IF($AS26+$N26+Setup!$C$28+Setup!$C$11&lt;Setup!$C$5,"Tight: by Express lands before Black Friday","Too late: ration"))))))))</f>
        <v/>
      </c>
      <c r="AG26" s="93" t="str">
        <f>IF($R26&lt;&gt;"OK","",IF($AB26=0,"",$AS26+$N26+INDEX(Setup!$C$25:$C$29,MATCH($O26,Setup!$B$25:$B$29,0))+Setup!$C$11))</f>
        <v/>
      </c>
      <c r="AH26" s="93" t="str">
        <f>IF($R26&lt;&gt;"OK","",IF($F26&lt;=0,"",INT(IF($K26&lt;($F26*MAX(0,(Setup!$C$5-Setup!$C$7)-Setup!$C$4)),Setup!$C$4+$K26/$F26,IF($K26&lt;($F26*MAX(0,(Setup!$C$5-Setup!$C$7)-Setup!$C$4))+($F26*Setup!$C$8*MAX(0,Setup!$C$5-MAX((Setup!$C$5-Setup!$C$7),Setup!$C$4))),MAX((Setup!$C$5-Setup!$C$7),Setup!$C$4)+($K26-($F26*MAX(0,(Setup!$C$5-Setup!$C$7)-Setup!$C$4)))/($F26*Setup!$C$8),IF(AND($W26&gt;0,$K26&lt;($F26*MAX(0,(Setup!$C$5-Setup!$C$7)-Setup!$C$4))+($F26*Setup!$C$8*MAX(0,Setup!$C$5-MAX((Setup!$C$5-Setup!$C$7),Setup!$C$4)))+($W26/4*MAX(0,Setup!$C$5+4-MAX(Setup!$C$5,Setup!$C$4)))),MAX(Setup!$C$5,Setup!$C$4)+($K26-($F26*MAX(0,(Setup!$C$5-Setup!$C$7)-Setup!$C$4))-($F26*Setup!$C$8*MAX(0,Setup!$C$5-MAX((Setup!$C$5-Setup!$C$7),Setup!$C$4))))/($W26/4),MAX(Setup!$C$5+4,Setup!$C$4)+($K26-($F26*MAX(0,(Setup!$C$5-Setup!$C$7)-Setup!$C$4))-($F26*Setup!$C$8*MAX(0,Setup!$C$5-MAX((Setup!$C$5-Setup!$C$7),Setup!$C$4)))-($W26/4*MAX(0,Setup!$C$5+4-MAX(Setup!$C$5,Setup!$C$4))))/($F26*Setup!$C$14)))))))</f>
        <v/>
      </c>
      <c r="AI26" s="79" t="str">
        <f>IF($R26&lt;&gt;"OK","",IF(AND($L26&lt;&gt;"",$L26&gt;0,ISNUMBER($AH26),$M26&gt;$AH26),"Runs out before the incoming delivery arrives",IF($AB26=0,"OK",IF($K26+IF(AND($L26&lt;&gt;"",$L26&gt;0),IF($M26&lt;=$AG26,$L26,0),0)&lt;($F26*MAX(0,MIN($AG26,(Setup!$C$5-Setup!$C$7))-Setup!$C$4)+$F26*Setup!$C$8*MAX(0,MIN($AG26,Setup!$C$5)-MAX((Setup!$C$5-Setup!$C$7),Setup!$C$4))+$W26/4*MAX(0,MIN($AG26,Setup!$C$5+4)-MAX(Setup!$C$5,Setup!$C$4))+$F26*Setup!$C$14*MAX(0,$AG26-MAX(Setup!$C$5+4,Setup!$C$4))),"Runs out before this order can land","OK"))))</f>
        <v/>
      </c>
      <c r="AJ26" s="78" t="str">
        <f>IF($R26&lt;&gt;"OK","",IF($AB26=0,0,IF($AL26="Too slow: send it all fast",$AB26,$AR26)))</f>
        <v/>
      </c>
      <c r="AK26" s="78" t="str">
        <f>IF($R26&lt;&gt;"OK","",$AB26-$AJ26)</f>
        <v/>
      </c>
      <c r="AL26" s="78" t="str">
        <f>IF($R26&lt;&gt;"OK","",IF($AB26=0,"",IF($AB26-$AR26=0,"Nothing left over",IF($O26="Domestic",IF($AG26&lt;=Setup!$C$6+Setup!$C$20+1,"Later units can go by Domestic","Too slow: send it all fast"),IF($AS26+$N26+Setup!$C$25+Setup!$C$11&lt;=Setup!$C$6+Setup!$C$20+1,"Later units can go by Ocean long",IF($AS26+$N26+Setup!$C$26+Setup!$C$11&lt;=Setup!$C$6+Setup!$C$20+1,"Later units can go by Ocean short",IF($AS26+$N26+Setup!$C$27+Setup!$C$11&lt;=Setup!$C$6+Setup!$C$20+1,"Later units can go by Air",IF($AS26+$N26+Setup!$C$28+Setup!$C$11&lt;=Setup!$C$6+Setup!$C$20+1,"Later units can go by Express","Too slow: send it all fast"))))))))</f>
        <v/>
      </c>
      <c r="AM26" s="94" t="str">
        <f>IF($R26&lt;&gt;"OK","",$E26-$D26)</f>
        <v/>
      </c>
      <c r="AN26" s="95" t="str">
        <f>IF($R26&lt;&gt;"OK","",($E26-$D26)/$D26)</f>
        <v/>
      </c>
      <c r="AO26" s="95" t="str">
        <f>IF($R26&lt;&gt;"OK","",IF($AB26&gt;0,$AN26+IF($C26="Evergreen",1000,0),""))</f>
        <v/>
      </c>
      <c r="AP26" s="78" t="str">
        <f>IF(OR($R26&lt;&gt;"OK",$AO26=""),"",COUNTIF($AO$6:$AO$205,"&gt;"&amp;$AO26)+COUNTIF($AO$6:$AO26,$AO26))</f>
        <v/>
      </c>
      <c r="AQ26" s="78" t="str">
        <f>IF(OR($R26&lt;&gt;"OK",$AP26=""),"",INDEX('Buy list'!$G$5:$G$204,$AP26))</f>
        <v/>
      </c>
      <c r="AR26" s="78" t="str">
        <f>IF($R26&lt;&gt;"OK","",IF($AB26=0,0,MIN($AB26,CEILING(MAX(0,($F26*MAX(0,MIN((Setup!$C$6+1+Setup!$C$20),(Setup!$C$5-Setup!$C$7))-Setup!$C$4)+$F26*Setup!$C$8*MAX(0,MIN((Setup!$C$6+1+Setup!$C$20),Setup!$C$5)-MAX((Setup!$C$5-Setup!$C$7),Setup!$C$4))+$W26/4*MAX(0,MIN((Setup!$C$6+1+Setup!$C$20),Setup!$C$5+4)-MAX(Setup!$C$5,Setup!$C$4))+$F26*Setup!$C$14*MAX(0,(Setup!$C$6+1+Setup!$C$20)-MAX(Setup!$C$5+4,Setup!$C$4)))+$Y26-$K26-IF(AND($L26&lt;&gt;"",$L26&gt;0),IF($M26&lt;=Setup!$C$10,$L26,0),0)),IF(OR($P26="",$P26&lt;=0),1,$P26)))))</f>
        <v/>
      </c>
      <c r="AS26" s="96" t="str">
        <f>IF($R26&lt;&gt;"OK","",IF(AND($O26&lt;&gt;"Domestic",ISNUMBER(Setup!$C$22),Setup!$C$22&gt;Setup!$C$4),Setup!$C$22,Setup!$C$4))</f>
        <v/>
      </c>
      <c r="AT26" s="96" t="str">
        <f>IF($R26&lt;&gt;"OK","",IF($AB26=0,"",IF($O26="Domestic",$AG26,$AS26+$N26+Setup!$C$27+Setup!$C$11)))</f>
        <v/>
      </c>
    </row>
    <row r="27" ht="15" customHeight="1" s="46">
      <c r="A27" s="70" t="n"/>
      <c r="B27" s="70" t="n"/>
      <c r="C27" s="70" t="n"/>
      <c r="D27" s="85" t="n"/>
      <c r="E27" s="85" t="n"/>
      <c r="F27" s="86" t="n"/>
      <c r="G27" s="87" t="n"/>
      <c r="H27" s="88" t="n"/>
      <c r="I27" s="89" t="n"/>
      <c r="J27" s="90" t="n"/>
      <c r="K27" s="87" t="n"/>
      <c r="L27" s="87" t="n"/>
      <c r="M27" s="91" t="n"/>
      <c r="N27" s="92" t="n"/>
      <c r="O27" s="70" t="n"/>
      <c r="P27" s="92" t="n"/>
      <c r="Q27" s="87" t="n"/>
      <c r="R27" s="79" t="str">
        <f>IF($A27="","",IF($C27="","Missing: type",IF(OR($D27="",$D27&lt;=0),"Missing: unit cost",IF($E27="","Missing: unit price",IF($F27="","Missing: daily sales",IF($K27="","Missing: on hand",IF($N27="","Missing: production days",IF($O27="","Missing: freight mode",IF(ISNA(MATCH($O27,Setup!$B$25:$B$29,0)),"Unknown freight mode",IF(AND($L27&lt;&gt;"",$L27&gt;0,$M27=""),"Missing: on-order arrival date","OK"))))))))))</f>
        <v/>
      </c>
      <c r="S27" s="78" t="str">
        <f>IF($R27&lt;&gt;"OK","",IF($G27="","",ROUND($G27/IF(OR($H27="",$H27&lt;=0),4,$H27)*4,0)))</f>
        <v/>
      </c>
      <c r="T27" s="78" t="str">
        <f>IF($R27&lt;&gt;"OK","",ROUND(IF($G27="",$F27*4*Setup!$C$19,$G27/IF(OR($H27="",$H27&lt;=0),4,$H27)*4*(1+IF($I27="",Setup!$C$16,$I27)))*IF($J27="",1,$J27),0))</f>
        <v/>
      </c>
      <c r="U27" s="78" t="str">
        <f>IF($R27&lt;&gt;"OK","",ROUND($T27*Setup!$C$17,0))</f>
        <v/>
      </c>
      <c r="V27" s="78" t="str">
        <f>IF($R27&lt;&gt;"OK","",ROUND($T27*Setup!$C$18,0))</f>
        <v/>
      </c>
      <c r="W27" s="78" t="str">
        <f>IF($R27&lt;&gt;"OK","",IF($C27="Evergreen",$V27,IF($C27="Seasonal or new",$U27,$T27)))</f>
        <v/>
      </c>
      <c r="X27" s="78" t="str">
        <f>IF($R27&lt;&gt;"OK","",ROUND(($F27*MAX(0,MIN(Setup!$C$13+1,(Setup!$C$5-Setup!$C$7))-Setup!$C$4)+$F27*Setup!$C$8*MAX(0,MIN(Setup!$C$13+1,Setup!$C$5)-MAX((Setup!$C$5-Setup!$C$7),Setup!$C$4))+$W27/4*MAX(0,MIN(Setup!$C$13+1,Setup!$C$5+4)-MAX(Setup!$C$5,Setup!$C$4))+$F27*Setup!$C$14*MAX(0,Setup!$C$13+1-MAX(Setup!$C$5+4,Setup!$C$4))),0))</f>
        <v/>
      </c>
      <c r="Y27" s="78" t="str">
        <f>IF($R27&lt;&gt;"OK","",ROUND($F27*Setup!$C$15,0))</f>
        <v/>
      </c>
      <c r="Z27" s="78" t="str">
        <f>IF($R27&lt;&gt;"OK","",IF(AND($L27&lt;&gt;"",$L27&gt;0),IF($M27&lt;=Setup!$C$13,$L27,0),0))</f>
        <v/>
      </c>
      <c r="AA27" s="78" t="str">
        <f>IF($R27&lt;&gt;"OK","",MAX(0,$X27+$Y27-$K27-$Z27))</f>
        <v/>
      </c>
      <c r="AB27" s="78" t="str">
        <f>IF($R27&lt;&gt;"OK","",IF($AA27=0,0,CEILING(MAX($AA27,IF($Q27="",0,$Q27)),IF(OR($P27="",$P27&lt;=0),1,$P27))))</f>
        <v/>
      </c>
      <c r="AC27" s="78" t="str">
        <f>IF($R27&lt;&gt;"OK","",$AB27*$D27)</f>
        <v/>
      </c>
      <c r="AD27" s="93" t="str">
        <f>IF($R27&lt;&gt;"OK","",INDEX(Setup!$D$25:$D$29,MATCH($O27,Setup!$B$25:$B$29,0)))</f>
        <v/>
      </c>
      <c r="AE27" s="93" t="str">
        <f>IF($R27&lt;&gt;"OK","",$AD27-$N27)</f>
        <v/>
      </c>
      <c r="AF27" s="79" t="str">
        <f>IF($R27&lt;&gt;"OK","",IF($AB27=0,"No order needed",IF($AE27&gt;=$AS27,"Order by the deadline",IF(AND($O27&lt;&gt;"Domestic",Setup!$D$27-$N27&gt;=$AS27),"Late by this mode: fly it",IF(Setup!$D$28-$N27&gt;=$AS27,"Late: Express courier only",IF($AG27&lt;Setup!$C$5,"Tight: lands before Black Friday",IF(AND($O27&lt;&gt;"Domestic",$AT27&lt;Setup!$C$5),"Tight: by Air lands before Black Friday",IF($AS27+$N27+Setup!$C$28+Setup!$C$11&lt;Setup!$C$5,"Tight: by Express lands before Black Friday","Too late: ration"))))))))</f>
        <v/>
      </c>
      <c r="AG27" s="93" t="str">
        <f>IF($R27&lt;&gt;"OK","",IF($AB27=0,"",$AS27+$N27+INDEX(Setup!$C$25:$C$29,MATCH($O27,Setup!$B$25:$B$29,0))+Setup!$C$11))</f>
        <v/>
      </c>
      <c r="AH27" s="93" t="str">
        <f>IF($R27&lt;&gt;"OK","",IF($F27&lt;=0,"",INT(IF($K27&lt;($F27*MAX(0,(Setup!$C$5-Setup!$C$7)-Setup!$C$4)),Setup!$C$4+$K27/$F27,IF($K27&lt;($F27*MAX(0,(Setup!$C$5-Setup!$C$7)-Setup!$C$4))+($F27*Setup!$C$8*MAX(0,Setup!$C$5-MAX((Setup!$C$5-Setup!$C$7),Setup!$C$4))),MAX((Setup!$C$5-Setup!$C$7),Setup!$C$4)+($K27-($F27*MAX(0,(Setup!$C$5-Setup!$C$7)-Setup!$C$4)))/($F27*Setup!$C$8),IF(AND($W27&gt;0,$K27&lt;($F27*MAX(0,(Setup!$C$5-Setup!$C$7)-Setup!$C$4))+($F27*Setup!$C$8*MAX(0,Setup!$C$5-MAX((Setup!$C$5-Setup!$C$7),Setup!$C$4)))+($W27/4*MAX(0,Setup!$C$5+4-MAX(Setup!$C$5,Setup!$C$4)))),MAX(Setup!$C$5,Setup!$C$4)+($K27-($F27*MAX(0,(Setup!$C$5-Setup!$C$7)-Setup!$C$4))-($F27*Setup!$C$8*MAX(0,Setup!$C$5-MAX((Setup!$C$5-Setup!$C$7),Setup!$C$4))))/($W27/4),MAX(Setup!$C$5+4,Setup!$C$4)+($K27-($F27*MAX(0,(Setup!$C$5-Setup!$C$7)-Setup!$C$4))-($F27*Setup!$C$8*MAX(0,Setup!$C$5-MAX((Setup!$C$5-Setup!$C$7),Setup!$C$4)))-($W27/4*MAX(0,Setup!$C$5+4-MAX(Setup!$C$5,Setup!$C$4))))/($F27*Setup!$C$14)))))))</f>
        <v/>
      </c>
      <c r="AI27" s="79" t="str">
        <f>IF($R27&lt;&gt;"OK","",IF(AND($L27&lt;&gt;"",$L27&gt;0,ISNUMBER($AH27),$M27&gt;$AH27),"Runs out before the incoming delivery arrives",IF($AB27=0,"OK",IF($K27+IF(AND($L27&lt;&gt;"",$L27&gt;0),IF($M27&lt;=$AG27,$L27,0),0)&lt;($F27*MAX(0,MIN($AG27,(Setup!$C$5-Setup!$C$7))-Setup!$C$4)+$F27*Setup!$C$8*MAX(0,MIN($AG27,Setup!$C$5)-MAX((Setup!$C$5-Setup!$C$7),Setup!$C$4))+$W27/4*MAX(0,MIN($AG27,Setup!$C$5+4)-MAX(Setup!$C$5,Setup!$C$4))+$F27*Setup!$C$14*MAX(0,$AG27-MAX(Setup!$C$5+4,Setup!$C$4))),"Runs out before this order can land","OK"))))</f>
        <v/>
      </c>
      <c r="AJ27" s="78" t="str">
        <f>IF($R27&lt;&gt;"OK","",IF($AB27=0,0,IF($AL27="Too slow: send it all fast",$AB27,$AR27)))</f>
        <v/>
      </c>
      <c r="AK27" s="78" t="str">
        <f>IF($R27&lt;&gt;"OK","",$AB27-$AJ27)</f>
        <v/>
      </c>
      <c r="AL27" s="78" t="str">
        <f>IF($R27&lt;&gt;"OK","",IF($AB27=0,"",IF($AB27-$AR27=0,"Nothing left over",IF($O27="Domestic",IF($AG27&lt;=Setup!$C$6+Setup!$C$20+1,"Later units can go by Domestic","Too slow: send it all fast"),IF($AS27+$N27+Setup!$C$25+Setup!$C$11&lt;=Setup!$C$6+Setup!$C$20+1,"Later units can go by Ocean long",IF($AS27+$N27+Setup!$C$26+Setup!$C$11&lt;=Setup!$C$6+Setup!$C$20+1,"Later units can go by Ocean short",IF($AS27+$N27+Setup!$C$27+Setup!$C$11&lt;=Setup!$C$6+Setup!$C$20+1,"Later units can go by Air",IF($AS27+$N27+Setup!$C$28+Setup!$C$11&lt;=Setup!$C$6+Setup!$C$20+1,"Later units can go by Express","Too slow: send it all fast"))))))))</f>
        <v/>
      </c>
      <c r="AM27" s="94" t="str">
        <f>IF($R27&lt;&gt;"OK","",$E27-$D27)</f>
        <v/>
      </c>
      <c r="AN27" s="95" t="str">
        <f>IF($R27&lt;&gt;"OK","",($E27-$D27)/$D27)</f>
        <v/>
      </c>
      <c r="AO27" s="95" t="str">
        <f>IF($R27&lt;&gt;"OK","",IF($AB27&gt;0,$AN27+IF($C27="Evergreen",1000,0),""))</f>
        <v/>
      </c>
      <c r="AP27" s="78" t="str">
        <f>IF(OR($R27&lt;&gt;"OK",$AO27=""),"",COUNTIF($AO$6:$AO$205,"&gt;"&amp;$AO27)+COUNTIF($AO$6:$AO27,$AO27))</f>
        <v/>
      </c>
      <c r="AQ27" s="78" t="str">
        <f>IF(OR($R27&lt;&gt;"OK",$AP27=""),"",INDEX('Buy list'!$G$5:$G$204,$AP27))</f>
        <v/>
      </c>
      <c r="AR27" s="78" t="str">
        <f>IF($R27&lt;&gt;"OK","",IF($AB27=0,0,MIN($AB27,CEILING(MAX(0,($F27*MAX(0,MIN((Setup!$C$6+1+Setup!$C$20),(Setup!$C$5-Setup!$C$7))-Setup!$C$4)+$F27*Setup!$C$8*MAX(0,MIN((Setup!$C$6+1+Setup!$C$20),Setup!$C$5)-MAX((Setup!$C$5-Setup!$C$7),Setup!$C$4))+$W27/4*MAX(0,MIN((Setup!$C$6+1+Setup!$C$20),Setup!$C$5+4)-MAX(Setup!$C$5,Setup!$C$4))+$F27*Setup!$C$14*MAX(0,(Setup!$C$6+1+Setup!$C$20)-MAX(Setup!$C$5+4,Setup!$C$4)))+$Y27-$K27-IF(AND($L27&lt;&gt;"",$L27&gt;0),IF($M27&lt;=Setup!$C$10,$L27,0),0)),IF(OR($P27="",$P27&lt;=0),1,$P27)))))</f>
        <v/>
      </c>
      <c r="AS27" s="96" t="str">
        <f>IF($R27&lt;&gt;"OK","",IF(AND($O27&lt;&gt;"Domestic",ISNUMBER(Setup!$C$22),Setup!$C$22&gt;Setup!$C$4),Setup!$C$22,Setup!$C$4))</f>
        <v/>
      </c>
      <c r="AT27" s="96" t="str">
        <f>IF($R27&lt;&gt;"OK","",IF($AB27=0,"",IF($O27="Domestic",$AG27,$AS27+$N27+Setup!$C$27+Setup!$C$11)))</f>
        <v/>
      </c>
    </row>
    <row r="28" ht="15" customHeight="1" s="46">
      <c r="A28" s="70" t="n"/>
      <c r="B28" s="70" t="n"/>
      <c r="C28" s="70" t="n"/>
      <c r="D28" s="85" t="n"/>
      <c r="E28" s="85" t="n"/>
      <c r="F28" s="86" t="n"/>
      <c r="G28" s="87" t="n"/>
      <c r="H28" s="88" t="n"/>
      <c r="I28" s="89" t="n"/>
      <c r="J28" s="90" t="n"/>
      <c r="K28" s="87" t="n"/>
      <c r="L28" s="87" t="n"/>
      <c r="M28" s="91" t="n"/>
      <c r="N28" s="92" t="n"/>
      <c r="O28" s="70" t="n"/>
      <c r="P28" s="92" t="n"/>
      <c r="Q28" s="87" t="n"/>
      <c r="R28" s="79" t="str">
        <f>IF($A28="","",IF($C28="","Missing: type",IF(OR($D28="",$D28&lt;=0),"Missing: unit cost",IF($E28="","Missing: unit price",IF($F28="","Missing: daily sales",IF($K28="","Missing: on hand",IF($N28="","Missing: production days",IF($O28="","Missing: freight mode",IF(ISNA(MATCH($O28,Setup!$B$25:$B$29,0)),"Unknown freight mode",IF(AND($L28&lt;&gt;"",$L28&gt;0,$M28=""),"Missing: on-order arrival date","OK"))))))))))</f>
        <v/>
      </c>
      <c r="S28" s="78" t="str">
        <f>IF($R28&lt;&gt;"OK","",IF($G28="","",ROUND($G28/IF(OR($H28="",$H28&lt;=0),4,$H28)*4,0)))</f>
        <v/>
      </c>
      <c r="T28" s="78" t="str">
        <f>IF($R28&lt;&gt;"OK","",ROUND(IF($G28="",$F28*4*Setup!$C$19,$G28/IF(OR($H28="",$H28&lt;=0),4,$H28)*4*(1+IF($I28="",Setup!$C$16,$I28)))*IF($J28="",1,$J28),0))</f>
        <v/>
      </c>
      <c r="U28" s="78" t="str">
        <f>IF($R28&lt;&gt;"OK","",ROUND($T28*Setup!$C$17,0))</f>
        <v/>
      </c>
      <c r="V28" s="78" t="str">
        <f>IF($R28&lt;&gt;"OK","",ROUND($T28*Setup!$C$18,0))</f>
        <v/>
      </c>
      <c r="W28" s="78" t="str">
        <f>IF($R28&lt;&gt;"OK","",IF($C28="Evergreen",$V28,IF($C28="Seasonal or new",$U28,$T28)))</f>
        <v/>
      </c>
      <c r="X28" s="78" t="str">
        <f>IF($R28&lt;&gt;"OK","",ROUND(($F28*MAX(0,MIN(Setup!$C$13+1,(Setup!$C$5-Setup!$C$7))-Setup!$C$4)+$F28*Setup!$C$8*MAX(0,MIN(Setup!$C$13+1,Setup!$C$5)-MAX((Setup!$C$5-Setup!$C$7),Setup!$C$4))+$W28/4*MAX(0,MIN(Setup!$C$13+1,Setup!$C$5+4)-MAX(Setup!$C$5,Setup!$C$4))+$F28*Setup!$C$14*MAX(0,Setup!$C$13+1-MAX(Setup!$C$5+4,Setup!$C$4))),0))</f>
        <v/>
      </c>
      <c r="Y28" s="78" t="str">
        <f>IF($R28&lt;&gt;"OK","",ROUND($F28*Setup!$C$15,0))</f>
        <v/>
      </c>
      <c r="Z28" s="78" t="str">
        <f>IF($R28&lt;&gt;"OK","",IF(AND($L28&lt;&gt;"",$L28&gt;0),IF($M28&lt;=Setup!$C$13,$L28,0),0))</f>
        <v/>
      </c>
      <c r="AA28" s="78" t="str">
        <f>IF($R28&lt;&gt;"OK","",MAX(0,$X28+$Y28-$K28-$Z28))</f>
        <v/>
      </c>
      <c r="AB28" s="78" t="str">
        <f>IF($R28&lt;&gt;"OK","",IF($AA28=0,0,CEILING(MAX($AA28,IF($Q28="",0,$Q28)),IF(OR($P28="",$P28&lt;=0),1,$P28))))</f>
        <v/>
      </c>
      <c r="AC28" s="78" t="str">
        <f>IF($R28&lt;&gt;"OK","",$AB28*$D28)</f>
        <v/>
      </c>
      <c r="AD28" s="93" t="str">
        <f>IF($R28&lt;&gt;"OK","",INDEX(Setup!$D$25:$D$29,MATCH($O28,Setup!$B$25:$B$29,0)))</f>
        <v/>
      </c>
      <c r="AE28" s="93" t="str">
        <f>IF($R28&lt;&gt;"OK","",$AD28-$N28)</f>
        <v/>
      </c>
      <c r="AF28" s="79" t="str">
        <f>IF($R28&lt;&gt;"OK","",IF($AB28=0,"No order needed",IF($AE28&gt;=$AS28,"Order by the deadline",IF(AND($O28&lt;&gt;"Domestic",Setup!$D$27-$N28&gt;=$AS28),"Late by this mode: fly it",IF(Setup!$D$28-$N28&gt;=$AS28,"Late: Express courier only",IF($AG28&lt;Setup!$C$5,"Tight: lands before Black Friday",IF(AND($O28&lt;&gt;"Domestic",$AT28&lt;Setup!$C$5),"Tight: by Air lands before Black Friday",IF($AS28+$N28+Setup!$C$28+Setup!$C$11&lt;Setup!$C$5,"Tight: by Express lands before Black Friday","Too late: ration"))))))))</f>
        <v/>
      </c>
      <c r="AG28" s="93" t="str">
        <f>IF($R28&lt;&gt;"OK","",IF($AB28=0,"",$AS28+$N28+INDEX(Setup!$C$25:$C$29,MATCH($O28,Setup!$B$25:$B$29,0))+Setup!$C$11))</f>
        <v/>
      </c>
      <c r="AH28" s="93" t="str">
        <f>IF($R28&lt;&gt;"OK","",IF($F28&lt;=0,"",INT(IF($K28&lt;($F28*MAX(0,(Setup!$C$5-Setup!$C$7)-Setup!$C$4)),Setup!$C$4+$K28/$F28,IF($K28&lt;($F28*MAX(0,(Setup!$C$5-Setup!$C$7)-Setup!$C$4))+($F28*Setup!$C$8*MAX(0,Setup!$C$5-MAX((Setup!$C$5-Setup!$C$7),Setup!$C$4))),MAX((Setup!$C$5-Setup!$C$7),Setup!$C$4)+($K28-($F28*MAX(0,(Setup!$C$5-Setup!$C$7)-Setup!$C$4)))/($F28*Setup!$C$8),IF(AND($W28&gt;0,$K28&lt;($F28*MAX(0,(Setup!$C$5-Setup!$C$7)-Setup!$C$4))+($F28*Setup!$C$8*MAX(0,Setup!$C$5-MAX((Setup!$C$5-Setup!$C$7),Setup!$C$4)))+($W28/4*MAX(0,Setup!$C$5+4-MAX(Setup!$C$5,Setup!$C$4)))),MAX(Setup!$C$5,Setup!$C$4)+($K28-($F28*MAX(0,(Setup!$C$5-Setup!$C$7)-Setup!$C$4))-($F28*Setup!$C$8*MAX(0,Setup!$C$5-MAX((Setup!$C$5-Setup!$C$7),Setup!$C$4))))/($W28/4),MAX(Setup!$C$5+4,Setup!$C$4)+($K28-($F28*MAX(0,(Setup!$C$5-Setup!$C$7)-Setup!$C$4))-($F28*Setup!$C$8*MAX(0,Setup!$C$5-MAX((Setup!$C$5-Setup!$C$7),Setup!$C$4)))-($W28/4*MAX(0,Setup!$C$5+4-MAX(Setup!$C$5,Setup!$C$4))))/($F28*Setup!$C$14)))))))</f>
        <v/>
      </c>
      <c r="AI28" s="79" t="str">
        <f>IF($R28&lt;&gt;"OK","",IF(AND($L28&lt;&gt;"",$L28&gt;0,ISNUMBER($AH28),$M28&gt;$AH28),"Runs out before the incoming delivery arrives",IF($AB28=0,"OK",IF($K28+IF(AND($L28&lt;&gt;"",$L28&gt;0),IF($M28&lt;=$AG28,$L28,0),0)&lt;($F28*MAX(0,MIN($AG28,(Setup!$C$5-Setup!$C$7))-Setup!$C$4)+$F28*Setup!$C$8*MAX(0,MIN($AG28,Setup!$C$5)-MAX((Setup!$C$5-Setup!$C$7),Setup!$C$4))+$W28/4*MAX(0,MIN($AG28,Setup!$C$5+4)-MAX(Setup!$C$5,Setup!$C$4))+$F28*Setup!$C$14*MAX(0,$AG28-MAX(Setup!$C$5+4,Setup!$C$4))),"Runs out before this order can land","OK"))))</f>
        <v/>
      </c>
      <c r="AJ28" s="78" t="str">
        <f>IF($R28&lt;&gt;"OK","",IF($AB28=0,0,IF($AL28="Too slow: send it all fast",$AB28,$AR28)))</f>
        <v/>
      </c>
      <c r="AK28" s="78" t="str">
        <f>IF($R28&lt;&gt;"OK","",$AB28-$AJ28)</f>
        <v/>
      </c>
      <c r="AL28" s="78" t="str">
        <f>IF($R28&lt;&gt;"OK","",IF($AB28=0,"",IF($AB28-$AR28=0,"Nothing left over",IF($O28="Domestic",IF($AG28&lt;=Setup!$C$6+Setup!$C$20+1,"Later units can go by Domestic","Too slow: send it all fast"),IF($AS28+$N28+Setup!$C$25+Setup!$C$11&lt;=Setup!$C$6+Setup!$C$20+1,"Later units can go by Ocean long",IF($AS28+$N28+Setup!$C$26+Setup!$C$11&lt;=Setup!$C$6+Setup!$C$20+1,"Later units can go by Ocean short",IF($AS28+$N28+Setup!$C$27+Setup!$C$11&lt;=Setup!$C$6+Setup!$C$20+1,"Later units can go by Air",IF($AS28+$N28+Setup!$C$28+Setup!$C$11&lt;=Setup!$C$6+Setup!$C$20+1,"Later units can go by Express","Too slow: send it all fast"))))))))</f>
        <v/>
      </c>
      <c r="AM28" s="94" t="str">
        <f>IF($R28&lt;&gt;"OK","",$E28-$D28)</f>
        <v/>
      </c>
      <c r="AN28" s="95" t="str">
        <f>IF($R28&lt;&gt;"OK","",($E28-$D28)/$D28)</f>
        <v/>
      </c>
      <c r="AO28" s="95" t="str">
        <f>IF($R28&lt;&gt;"OK","",IF($AB28&gt;0,$AN28+IF($C28="Evergreen",1000,0),""))</f>
        <v/>
      </c>
      <c r="AP28" s="78" t="str">
        <f>IF(OR($R28&lt;&gt;"OK",$AO28=""),"",COUNTIF($AO$6:$AO$205,"&gt;"&amp;$AO28)+COUNTIF($AO$6:$AO28,$AO28))</f>
        <v/>
      </c>
      <c r="AQ28" s="78" t="str">
        <f>IF(OR($R28&lt;&gt;"OK",$AP28=""),"",INDEX('Buy list'!$G$5:$G$204,$AP28))</f>
        <v/>
      </c>
      <c r="AR28" s="78" t="str">
        <f>IF($R28&lt;&gt;"OK","",IF($AB28=0,0,MIN($AB28,CEILING(MAX(0,($F28*MAX(0,MIN((Setup!$C$6+1+Setup!$C$20),(Setup!$C$5-Setup!$C$7))-Setup!$C$4)+$F28*Setup!$C$8*MAX(0,MIN((Setup!$C$6+1+Setup!$C$20),Setup!$C$5)-MAX((Setup!$C$5-Setup!$C$7),Setup!$C$4))+$W28/4*MAX(0,MIN((Setup!$C$6+1+Setup!$C$20),Setup!$C$5+4)-MAX(Setup!$C$5,Setup!$C$4))+$F28*Setup!$C$14*MAX(0,(Setup!$C$6+1+Setup!$C$20)-MAX(Setup!$C$5+4,Setup!$C$4)))+$Y28-$K28-IF(AND($L28&lt;&gt;"",$L28&gt;0),IF($M28&lt;=Setup!$C$10,$L28,0),0)),IF(OR($P28="",$P28&lt;=0),1,$P28)))))</f>
        <v/>
      </c>
      <c r="AS28" s="96" t="str">
        <f>IF($R28&lt;&gt;"OK","",IF(AND($O28&lt;&gt;"Domestic",ISNUMBER(Setup!$C$22),Setup!$C$22&gt;Setup!$C$4),Setup!$C$22,Setup!$C$4))</f>
        <v/>
      </c>
      <c r="AT28" s="96" t="str">
        <f>IF($R28&lt;&gt;"OK","",IF($AB28=0,"",IF($O28="Domestic",$AG28,$AS28+$N28+Setup!$C$27+Setup!$C$11)))</f>
        <v/>
      </c>
    </row>
    <row r="29" ht="15" customHeight="1" s="46">
      <c r="A29" s="70" t="n"/>
      <c r="B29" s="70" t="n"/>
      <c r="C29" s="70" t="n"/>
      <c r="D29" s="85" t="n"/>
      <c r="E29" s="85" t="n"/>
      <c r="F29" s="86" t="n"/>
      <c r="G29" s="87" t="n"/>
      <c r="H29" s="88" t="n"/>
      <c r="I29" s="89" t="n"/>
      <c r="J29" s="90" t="n"/>
      <c r="K29" s="87" t="n"/>
      <c r="L29" s="87" t="n"/>
      <c r="M29" s="91" t="n"/>
      <c r="N29" s="92" t="n"/>
      <c r="O29" s="70" t="n"/>
      <c r="P29" s="92" t="n"/>
      <c r="Q29" s="87" t="n"/>
      <c r="R29" s="79" t="str">
        <f>IF($A29="","",IF($C29="","Missing: type",IF(OR($D29="",$D29&lt;=0),"Missing: unit cost",IF($E29="","Missing: unit price",IF($F29="","Missing: daily sales",IF($K29="","Missing: on hand",IF($N29="","Missing: production days",IF($O29="","Missing: freight mode",IF(ISNA(MATCH($O29,Setup!$B$25:$B$29,0)),"Unknown freight mode",IF(AND($L29&lt;&gt;"",$L29&gt;0,$M29=""),"Missing: on-order arrival date","OK"))))))))))</f>
        <v/>
      </c>
      <c r="S29" s="78" t="str">
        <f>IF($R29&lt;&gt;"OK","",IF($G29="","",ROUND($G29/IF(OR($H29="",$H29&lt;=0),4,$H29)*4,0)))</f>
        <v/>
      </c>
      <c r="T29" s="78" t="str">
        <f>IF($R29&lt;&gt;"OK","",ROUND(IF($G29="",$F29*4*Setup!$C$19,$G29/IF(OR($H29="",$H29&lt;=0),4,$H29)*4*(1+IF($I29="",Setup!$C$16,$I29)))*IF($J29="",1,$J29),0))</f>
        <v/>
      </c>
      <c r="U29" s="78" t="str">
        <f>IF($R29&lt;&gt;"OK","",ROUND($T29*Setup!$C$17,0))</f>
        <v/>
      </c>
      <c r="V29" s="78" t="str">
        <f>IF($R29&lt;&gt;"OK","",ROUND($T29*Setup!$C$18,0))</f>
        <v/>
      </c>
      <c r="W29" s="78" t="str">
        <f>IF($R29&lt;&gt;"OK","",IF($C29="Evergreen",$V29,IF($C29="Seasonal or new",$U29,$T29)))</f>
        <v/>
      </c>
      <c r="X29" s="78" t="str">
        <f>IF($R29&lt;&gt;"OK","",ROUND(($F29*MAX(0,MIN(Setup!$C$13+1,(Setup!$C$5-Setup!$C$7))-Setup!$C$4)+$F29*Setup!$C$8*MAX(0,MIN(Setup!$C$13+1,Setup!$C$5)-MAX((Setup!$C$5-Setup!$C$7),Setup!$C$4))+$W29/4*MAX(0,MIN(Setup!$C$13+1,Setup!$C$5+4)-MAX(Setup!$C$5,Setup!$C$4))+$F29*Setup!$C$14*MAX(0,Setup!$C$13+1-MAX(Setup!$C$5+4,Setup!$C$4))),0))</f>
        <v/>
      </c>
      <c r="Y29" s="78" t="str">
        <f>IF($R29&lt;&gt;"OK","",ROUND($F29*Setup!$C$15,0))</f>
        <v/>
      </c>
      <c r="Z29" s="78" t="str">
        <f>IF($R29&lt;&gt;"OK","",IF(AND($L29&lt;&gt;"",$L29&gt;0),IF($M29&lt;=Setup!$C$13,$L29,0),0))</f>
        <v/>
      </c>
      <c r="AA29" s="78" t="str">
        <f>IF($R29&lt;&gt;"OK","",MAX(0,$X29+$Y29-$K29-$Z29))</f>
        <v/>
      </c>
      <c r="AB29" s="78" t="str">
        <f>IF($R29&lt;&gt;"OK","",IF($AA29=0,0,CEILING(MAX($AA29,IF($Q29="",0,$Q29)),IF(OR($P29="",$P29&lt;=0),1,$P29))))</f>
        <v/>
      </c>
      <c r="AC29" s="78" t="str">
        <f>IF($R29&lt;&gt;"OK","",$AB29*$D29)</f>
        <v/>
      </c>
      <c r="AD29" s="93" t="str">
        <f>IF($R29&lt;&gt;"OK","",INDEX(Setup!$D$25:$D$29,MATCH($O29,Setup!$B$25:$B$29,0)))</f>
        <v/>
      </c>
      <c r="AE29" s="93" t="str">
        <f>IF($R29&lt;&gt;"OK","",$AD29-$N29)</f>
        <v/>
      </c>
      <c r="AF29" s="79" t="str">
        <f>IF($R29&lt;&gt;"OK","",IF($AB29=0,"No order needed",IF($AE29&gt;=$AS29,"Order by the deadline",IF(AND($O29&lt;&gt;"Domestic",Setup!$D$27-$N29&gt;=$AS29),"Late by this mode: fly it",IF(Setup!$D$28-$N29&gt;=$AS29,"Late: Express courier only",IF($AG29&lt;Setup!$C$5,"Tight: lands before Black Friday",IF(AND($O29&lt;&gt;"Domestic",$AT29&lt;Setup!$C$5),"Tight: by Air lands before Black Friday",IF($AS29+$N29+Setup!$C$28+Setup!$C$11&lt;Setup!$C$5,"Tight: by Express lands before Black Friday","Too late: ration"))))))))</f>
        <v/>
      </c>
      <c r="AG29" s="93" t="str">
        <f>IF($R29&lt;&gt;"OK","",IF($AB29=0,"",$AS29+$N29+INDEX(Setup!$C$25:$C$29,MATCH($O29,Setup!$B$25:$B$29,0))+Setup!$C$11))</f>
        <v/>
      </c>
      <c r="AH29" s="93" t="str">
        <f>IF($R29&lt;&gt;"OK","",IF($F29&lt;=0,"",INT(IF($K29&lt;($F29*MAX(0,(Setup!$C$5-Setup!$C$7)-Setup!$C$4)),Setup!$C$4+$K29/$F29,IF($K29&lt;($F29*MAX(0,(Setup!$C$5-Setup!$C$7)-Setup!$C$4))+($F29*Setup!$C$8*MAX(0,Setup!$C$5-MAX((Setup!$C$5-Setup!$C$7),Setup!$C$4))),MAX((Setup!$C$5-Setup!$C$7),Setup!$C$4)+($K29-($F29*MAX(0,(Setup!$C$5-Setup!$C$7)-Setup!$C$4)))/($F29*Setup!$C$8),IF(AND($W29&gt;0,$K29&lt;($F29*MAX(0,(Setup!$C$5-Setup!$C$7)-Setup!$C$4))+($F29*Setup!$C$8*MAX(0,Setup!$C$5-MAX((Setup!$C$5-Setup!$C$7),Setup!$C$4)))+($W29/4*MAX(0,Setup!$C$5+4-MAX(Setup!$C$5,Setup!$C$4)))),MAX(Setup!$C$5,Setup!$C$4)+($K29-($F29*MAX(0,(Setup!$C$5-Setup!$C$7)-Setup!$C$4))-($F29*Setup!$C$8*MAX(0,Setup!$C$5-MAX((Setup!$C$5-Setup!$C$7),Setup!$C$4))))/($W29/4),MAX(Setup!$C$5+4,Setup!$C$4)+($K29-($F29*MAX(0,(Setup!$C$5-Setup!$C$7)-Setup!$C$4))-($F29*Setup!$C$8*MAX(0,Setup!$C$5-MAX((Setup!$C$5-Setup!$C$7),Setup!$C$4)))-($W29/4*MAX(0,Setup!$C$5+4-MAX(Setup!$C$5,Setup!$C$4))))/($F29*Setup!$C$14)))))))</f>
        <v/>
      </c>
      <c r="AI29" s="79" t="str">
        <f>IF($R29&lt;&gt;"OK","",IF(AND($L29&lt;&gt;"",$L29&gt;0,ISNUMBER($AH29),$M29&gt;$AH29),"Runs out before the incoming delivery arrives",IF($AB29=0,"OK",IF($K29+IF(AND($L29&lt;&gt;"",$L29&gt;0),IF($M29&lt;=$AG29,$L29,0),0)&lt;($F29*MAX(0,MIN($AG29,(Setup!$C$5-Setup!$C$7))-Setup!$C$4)+$F29*Setup!$C$8*MAX(0,MIN($AG29,Setup!$C$5)-MAX((Setup!$C$5-Setup!$C$7),Setup!$C$4))+$W29/4*MAX(0,MIN($AG29,Setup!$C$5+4)-MAX(Setup!$C$5,Setup!$C$4))+$F29*Setup!$C$14*MAX(0,$AG29-MAX(Setup!$C$5+4,Setup!$C$4))),"Runs out before this order can land","OK"))))</f>
        <v/>
      </c>
      <c r="AJ29" s="78" t="str">
        <f>IF($R29&lt;&gt;"OK","",IF($AB29=0,0,IF($AL29="Too slow: send it all fast",$AB29,$AR29)))</f>
        <v/>
      </c>
      <c r="AK29" s="78" t="str">
        <f>IF($R29&lt;&gt;"OK","",$AB29-$AJ29)</f>
        <v/>
      </c>
      <c r="AL29" s="78" t="str">
        <f>IF($R29&lt;&gt;"OK","",IF($AB29=0,"",IF($AB29-$AR29=0,"Nothing left over",IF($O29="Domestic",IF($AG29&lt;=Setup!$C$6+Setup!$C$20+1,"Later units can go by Domestic","Too slow: send it all fast"),IF($AS29+$N29+Setup!$C$25+Setup!$C$11&lt;=Setup!$C$6+Setup!$C$20+1,"Later units can go by Ocean long",IF($AS29+$N29+Setup!$C$26+Setup!$C$11&lt;=Setup!$C$6+Setup!$C$20+1,"Later units can go by Ocean short",IF($AS29+$N29+Setup!$C$27+Setup!$C$11&lt;=Setup!$C$6+Setup!$C$20+1,"Later units can go by Air",IF($AS29+$N29+Setup!$C$28+Setup!$C$11&lt;=Setup!$C$6+Setup!$C$20+1,"Later units can go by Express","Too slow: send it all fast"))))))))</f>
        <v/>
      </c>
      <c r="AM29" s="94" t="str">
        <f>IF($R29&lt;&gt;"OK","",$E29-$D29)</f>
        <v/>
      </c>
      <c r="AN29" s="95" t="str">
        <f>IF($R29&lt;&gt;"OK","",($E29-$D29)/$D29)</f>
        <v/>
      </c>
      <c r="AO29" s="95" t="str">
        <f>IF($R29&lt;&gt;"OK","",IF($AB29&gt;0,$AN29+IF($C29="Evergreen",1000,0),""))</f>
        <v/>
      </c>
      <c r="AP29" s="78" t="str">
        <f>IF(OR($R29&lt;&gt;"OK",$AO29=""),"",COUNTIF($AO$6:$AO$205,"&gt;"&amp;$AO29)+COUNTIF($AO$6:$AO29,$AO29))</f>
        <v/>
      </c>
      <c r="AQ29" s="78" t="str">
        <f>IF(OR($R29&lt;&gt;"OK",$AP29=""),"",INDEX('Buy list'!$G$5:$G$204,$AP29))</f>
        <v/>
      </c>
      <c r="AR29" s="78" t="str">
        <f>IF($R29&lt;&gt;"OK","",IF($AB29=0,0,MIN($AB29,CEILING(MAX(0,($F29*MAX(0,MIN((Setup!$C$6+1+Setup!$C$20),(Setup!$C$5-Setup!$C$7))-Setup!$C$4)+$F29*Setup!$C$8*MAX(0,MIN((Setup!$C$6+1+Setup!$C$20),Setup!$C$5)-MAX((Setup!$C$5-Setup!$C$7),Setup!$C$4))+$W29/4*MAX(0,MIN((Setup!$C$6+1+Setup!$C$20),Setup!$C$5+4)-MAX(Setup!$C$5,Setup!$C$4))+$F29*Setup!$C$14*MAX(0,(Setup!$C$6+1+Setup!$C$20)-MAX(Setup!$C$5+4,Setup!$C$4)))+$Y29-$K29-IF(AND($L29&lt;&gt;"",$L29&gt;0),IF($M29&lt;=Setup!$C$10,$L29,0),0)),IF(OR($P29="",$P29&lt;=0),1,$P29)))))</f>
        <v/>
      </c>
      <c r="AS29" s="96" t="str">
        <f>IF($R29&lt;&gt;"OK","",IF(AND($O29&lt;&gt;"Domestic",ISNUMBER(Setup!$C$22),Setup!$C$22&gt;Setup!$C$4),Setup!$C$22,Setup!$C$4))</f>
        <v/>
      </c>
      <c r="AT29" s="96" t="str">
        <f>IF($R29&lt;&gt;"OK","",IF($AB29=0,"",IF($O29="Domestic",$AG29,$AS29+$N29+Setup!$C$27+Setup!$C$11)))</f>
        <v/>
      </c>
    </row>
    <row r="30" ht="15" customHeight="1" s="46">
      <c r="A30" s="70" t="n"/>
      <c r="B30" s="70" t="n"/>
      <c r="C30" s="70" t="n"/>
      <c r="D30" s="85" t="n"/>
      <c r="E30" s="85" t="n"/>
      <c r="F30" s="86" t="n"/>
      <c r="G30" s="87" t="n"/>
      <c r="H30" s="88" t="n"/>
      <c r="I30" s="89" t="n"/>
      <c r="J30" s="90" t="n"/>
      <c r="K30" s="87" t="n"/>
      <c r="L30" s="87" t="n"/>
      <c r="M30" s="91" t="n"/>
      <c r="N30" s="92" t="n"/>
      <c r="O30" s="70" t="n"/>
      <c r="P30" s="92" t="n"/>
      <c r="Q30" s="87" t="n"/>
      <c r="R30" s="79" t="str">
        <f>IF($A30="","",IF($C30="","Missing: type",IF(OR($D30="",$D30&lt;=0),"Missing: unit cost",IF($E30="","Missing: unit price",IF($F30="","Missing: daily sales",IF($K30="","Missing: on hand",IF($N30="","Missing: production days",IF($O30="","Missing: freight mode",IF(ISNA(MATCH($O30,Setup!$B$25:$B$29,0)),"Unknown freight mode",IF(AND($L30&lt;&gt;"",$L30&gt;0,$M30=""),"Missing: on-order arrival date","OK"))))))))))</f>
        <v/>
      </c>
      <c r="S30" s="78" t="str">
        <f>IF($R30&lt;&gt;"OK","",IF($G30="","",ROUND($G30/IF(OR($H30="",$H30&lt;=0),4,$H30)*4,0)))</f>
        <v/>
      </c>
      <c r="T30" s="78" t="str">
        <f>IF($R30&lt;&gt;"OK","",ROUND(IF($G30="",$F30*4*Setup!$C$19,$G30/IF(OR($H30="",$H30&lt;=0),4,$H30)*4*(1+IF($I30="",Setup!$C$16,$I30)))*IF($J30="",1,$J30),0))</f>
        <v/>
      </c>
      <c r="U30" s="78" t="str">
        <f>IF($R30&lt;&gt;"OK","",ROUND($T30*Setup!$C$17,0))</f>
        <v/>
      </c>
      <c r="V30" s="78" t="str">
        <f>IF($R30&lt;&gt;"OK","",ROUND($T30*Setup!$C$18,0))</f>
        <v/>
      </c>
      <c r="W30" s="78" t="str">
        <f>IF($R30&lt;&gt;"OK","",IF($C30="Evergreen",$V30,IF($C30="Seasonal or new",$U30,$T30)))</f>
        <v/>
      </c>
      <c r="X30" s="78" t="str">
        <f>IF($R30&lt;&gt;"OK","",ROUND(($F30*MAX(0,MIN(Setup!$C$13+1,(Setup!$C$5-Setup!$C$7))-Setup!$C$4)+$F30*Setup!$C$8*MAX(0,MIN(Setup!$C$13+1,Setup!$C$5)-MAX((Setup!$C$5-Setup!$C$7),Setup!$C$4))+$W30/4*MAX(0,MIN(Setup!$C$13+1,Setup!$C$5+4)-MAX(Setup!$C$5,Setup!$C$4))+$F30*Setup!$C$14*MAX(0,Setup!$C$13+1-MAX(Setup!$C$5+4,Setup!$C$4))),0))</f>
        <v/>
      </c>
      <c r="Y30" s="78" t="str">
        <f>IF($R30&lt;&gt;"OK","",ROUND($F30*Setup!$C$15,0))</f>
        <v/>
      </c>
      <c r="Z30" s="78" t="str">
        <f>IF($R30&lt;&gt;"OK","",IF(AND($L30&lt;&gt;"",$L30&gt;0),IF($M30&lt;=Setup!$C$13,$L30,0),0))</f>
        <v/>
      </c>
      <c r="AA30" s="78" t="str">
        <f>IF($R30&lt;&gt;"OK","",MAX(0,$X30+$Y30-$K30-$Z30))</f>
        <v/>
      </c>
      <c r="AB30" s="78" t="str">
        <f>IF($R30&lt;&gt;"OK","",IF($AA30=0,0,CEILING(MAX($AA30,IF($Q30="",0,$Q30)),IF(OR($P30="",$P30&lt;=0),1,$P30))))</f>
        <v/>
      </c>
      <c r="AC30" s="78" t="str">
        <f>IF($R30&lt;&gt;"OK","",$AB30*$D30)</f>
        <v/>
      </c>
      <c r="AD30" s="93" t="str">
        <f>IF($R30&lt;&gt;"OK","",INDEX(Setup!$D$25:$D$29,MATCH($O30,Setup!$B$25:$B$29,0)))</f>
        <v/>
      </c>
      <c r="AE30" s="93" t="str">
        <f>IF($R30&lt;&gt;"OK","",$AD30-$N30)</f>
        <v/>
      </c>
      <c r="AF30" s="79" t="str">
        <f>IF($R30&lt;&gt;"OK","",IF($AB30=0,"No order needed",IF($AE30&gt;=$AS30,"Order by the deadline",IF(AND($O30&lt;&gt;"Domestic",Setup!$D$27-$N30&gt;=$AS30),"Late by this mode: fly it",IF(Setup!$D$28-$N30&gt;=$AS30,"Late: Express courier only",IF($AG30&lt;Setup!$C$5,"Tight: lands before Black Friday",IF(AND($O30&lt;&gt;"Domestic",$AT30&lt;Setup!$C$5),"Tight: by Air lands before Black Friday",IF($AS30+$N30+Setup!$C$28+Setup!$C$11&lt;Setup!$C$5,"Tight: by Express lands before Black Friday","Too late: ration"))))))))</f>
        <v/>
      </c>
      <c r="AG30" s="93" t="str">
        <f>IF($R30&lt;&gt;"OK","",IF($AB30=0,"",$AS30+$N30+INDEX(Setup!$C$25:$C$29,MATCH($O30,Setup!$B$25:$B$29,0))+Setup!$C$11))</f>
        <v/>
      </c>
      <c r="AH30" s="93" t="str">
        <f>IF($R30&lt;&gt;"OK","",IF($F30&lt;=0,"",INT(IF($K30&lt;($F30*MAX(0,(Setup!$C$5-Setup!$C$7)-Setup!$C$4)),Setup!$C$4+$K30/$F30,IF($K30&lt;($F30*MAX(0,(Setup!$C$5-Setup!$C$7)-Setup!$C$4))+($F30*Setup!$C$8*MAX(0,Setup!$C$5-MAX((Setup!$C$5-Setup!$C$7),Setup!$C$4))),MAX((Setup!$C$5-Setup!$C$7),Setup!$C$4)+($K30-($F30*MAX(0,(Setup!$C$5-Setup!$C$7)-Setup!$C$4)))/($F30*Setup!$C$8),IF(AND($W30&gt;0,$K30&lt;($F30*MAX(0,(Setup!$C$5-Setup!$C$7)-Setup!$C$4))+($F30*Setup!$C$8*MAX(0,Setup!$C$5-MAX((Setup!$C$5-Setup!$C$7),Setup!$C$4)))+($W30/4*MAX(0,Setup!$C$5+4-MAX(Setup!$C$5,Setup!$C$4)))),MAX(Setup!$C$5,Setup!$C$4)+($K30-($F30*MAX(0,(Setup!$C$5-Setup!$C$7)-Setup!$C$4))-($F30*Setup!$C$8*MAX(0,Setup!$C$5-MAX((Setup!$C$5-Setup!$C$7),Setup!$C$4))))/($W30/4),MAX(Setup!$C$5+4,Setup!$C$4)+($K30-($F30*MAX(0,(Setup!$C$5-Setup!$C$7)-Setup!$C$4))-($F30*Setup!$C$8*MAX(0,Setup!$C$5-MAX((Setup!$C$5-Setup!$C$7),Setup!$C$4)))-($W30/4*MAX(0,Setup!$C$5+4-MAX(Setup!$C$5,Setup!$C$4))))/($F30*Setup!$C$14)))))))</f>
        <v/>
      </c>
      <c r="AI30" s="79" t="str">
        <f>IF($R30&lt;&gt;"OK","",IF(AND($L30&lt;&gt;"",$L30&gt;0,ISNUMBER($AH30),$M30&gt;$AH30),"Runs out before the incoming delivery arrives",IF($AB30=0,"OK",IF($K30+IF(AND($L30&lt;&gt;"",$L30&gt;0),IF($M30&lt;=$AG30,$L30,0),0)&lt;($F30*MAX(0,MIN($AG30,(Setup!$C$5-Setup!$C$7))-Setup!$C$4)+$F30*Setup!$C$8*MAX(0,MIN($AG30,Setup!$C$5)-MAX((Setup!$C$5-Setup!$C$7),Setup!$C$4))+$W30/4*MAX(0,MIN($AG30,Setup!$C$5+4)-MAX(Setup!$C$5,Setup!$C$4))+$F30*Setup!$C$14*MAX(0,$AG30-MAX(Setup!$C$5+4,Setup!$C$4))),"Runs out before this order can land","OK"))))</f>
        <v/>
      </c>
      <c r="AJ30" s="78" t="str">
        <f>IF($R30&lt;&gt;"OK","",IF($AB30=0,0,IF($AL30="Too slow: send it all fast",$AB30,$AR30)))</f>
        <v/>
      </c>
      <c r="AK30" s="78" t="str">
        <f>IF($R30&lt;&gt;"OK","",$AB30-$AJ30)</f>
        <v/>
      </c>
      <c r="AL30" s="78" t="str">
        <f>IF($R30&lt;&gt;"OK","",IF($AB30=0,"",IF($AB30-$AR30=0,"Nothing left over",IF($O30="Domestic",IF($AG30&lt;=Setup!$C$6+Setup!$C$20+1,"Later units can go by Domestic","Too slow: send it all fast"),IF($AS30+$N30+Setup!$C$25+Setup!$C$11&lt;=Setup!$C$6+Setup!$C$20+1,"Later units can go by Ocean long",IF($AS30+$N30+Setup!$C$26+Setup!$C$11&lt;=Setup!$C$6+Setup!$C$20+1,"Later units can go by Ocean short",IF($AS30+$N30+Setup!$C$27+Setup!$C$11&lt;=Setup!$C$6+Setup!$C$20+1,"Later units can go by Air",IF($AS30+$N30+Setup!$C$28+Setup!$C$11&lt;=Setup!$C$6+Setup!$C$20+1,"Later units can go by Express","Too slow: send it all fast"))))))))</f>
        <v/>
      </c>
      <c r="AM30" s="94" t="str">
        <f>IF($R30&lt;&gt;"OK","",$E30-$D30)</f>
        <v/>
      </c>
      <c r="AN30" s="95" t="str">
        <f>IF($R30&lt;&gt;"OK","",($E30-$D30)/$D30)</f>
        <v/>
      </c>
      <c r="AO30" s="95" t="str">
        <f>IF($R30&lt;&gt;"OK","",IF($AB30&gt;0,$AN30+IF($C30="Evergreen",1000,0),""))</f>
        <v/>
      </c>
      <c r="AP30" s="78" t="str">
        <f>IF(OR($R30&lt;&gt;"OK",$AO30=""),"",COUNTIF($AO$6:$AO$205,"&gt;"&amp;$AO30)+COUNTIF($AO$6:$AO30,$AO30))</f>
        <v/>
      </c>
      <c r="AQ30" s="78" t="str">
        <f>IF(OR($R30&lt;&gt;"OK",$AP30=""),"",INDEX('Buy list'!$G$5:$G$204,$AP30))</f>
        <v/>
      </c>
      <c r="AR30" s="78" t="str">
        <f>IF($R30&lt;&gt;"OK","",IF($AB30=0,0,MIN($AB30,CEILING(MAX(0,($F30*MAX(0,MIN((Setup!$C$6+1+Setup!$C$20),(Setup!$C$5-Setup!$C$7))-Setup!$C$4)+$F30*Setup!$C$8*MAX(0,MIN((Setup!$C$6+1+Setup!$C$20),Setup!$C$5)-MAX((Setup!$C$5-Setup!$C$7),Setup!$C$4))+$W30/4*MAX(0,MIN((Setup!$C$6+1+Setup!$C$20),Setup!$C$5+4)-MAX(Setup!$C$5,Setup!$C$4))+$F30*Setup!$C$14*MAX(0,(Setup!$C$6+1+Setup!$C$20)-MAX(Setup!$C$5+4,Setup!$C$4)))+$Y30-$K30-IF(AND($L30&lt;&gt;"",$L30&gt;0),IF($M30&lt;=Setup!$C$10,$L30,0),0)),IF(OR($P30="",$P30&lt;=0),1,$P30)))))</f>
        <v/>
      </c>
      <c r="AS30" s="96" t="str">
        <f>IF($R30&lt;&gt;"OK","",IF(AND($O30&lt;&gt;"Domestic",ISNUMBER(Setup!$C$22),Setup!$C$22&gt;Setup!$C$4),Setup!$C$22,Setup!$C$4))</f>
        <v/>
      </c>
      <c r="AT30" s="96" t="str">
        <f>IF($R30&lt;&gt;"OK","",IF($AB30=0,"",IF($O30="Domestic",$AG30,$AS30+$N30+Setup!$C$27+Setup!$C$11)))</f>
        <v/>
      </c>
    </row>
    <row r="31" ht="15" customHeight="1" s="46">
      <c r="A31" s="70" t="n"/>
      <c r="B31" s="70" t="n"/>
      <c r="C31" s="70" t="n"/>
      <c r="D31" s="85" t="n"/>
      <c r="E31" s="85" t="n"/>
      <c r="F31" s="86" t="n"/>
      <c r="G31" s="87" t="n"/>
      <c r="H31" s="88" t="n"/>
      <c r="I31" s="89" t="n"/>
      <c r="J31" s="90" t="n"/>
      <c r="K31" s="87" t="n"/>
      <c r="L31" s="87" t="n"/>
      <c r="M31" s="91" t="n"/>
      <c r="N31" s="92" t="n"/>
      <c r="O31" s="70" t="n"/>
      <c r="P31" s="92" t="n"/>
      <c r="Q31" s="87" t="n"/>
      <c r="R31" s="79" t="str">
        <f>IF($A31="","",IF($C31="","Missing: type",IF(OR($D31="",$D31&lt;=0),"Missing: unit cost",IF($E31="","Missing: unit price",IF($F31="","Missing: daily sales",IF($K31="","Missing: on hand",IF($N31="","Missing: production days",IF($O31="","Missing: freight mode",IF(ISNA(MATCH($O31,Setup!$B$25:$B$29,0)),"Unknown freight mode",IF(AND($L31&lt;&gt;"",$L31&gt;0,$M31=""),"Missing: on-order arrival date","OK"))))))))))</f>
        <v/>
      </c>
      <c r="S31" s="78" t="str">
        <f>IF($R31&lt;&gt;"OK","",IF($G31="","",ROUND($G31/IF(OR($H31="",$H31&lt;=0),4,$H31)*4,0)))</f>
        <v/>
      </c>
      <c r="T31" s="78" t="str">
        <f>IF($R31&lt;&gt;"OK","",ROUND(IF($G31="",$F31*4*Setup!$C$19,$G31/IF(OR($H31="",$H31&lt;=0),4,$H31)*4*(1+IF($I31="",Setup!$C$16,$I31)))*IF($J31="",1,$J31),0))</f>
        <v/>
      </c>
      <c r="U31" s="78" t="str">
        <f>IF($R31&lt;&gt;"OK","",ROUND($T31*Setup!$C$17,0))</f>
        <v/>
      </c>
      <c r="V31" s="78" t="str">
        <f>IF($R31&lt;&gt;"OK","",ROUND($T31*Setup!$C$18,0))</f>
        <v/>
      </c>
      <c r="W31" s="78" t="str">
        <f>IF($R31&lt;&gt;"OK","",IF($C31="Evergreen",$V31,IF($C31="Seasonal or new",$U31,$T31)))</f>
        <v/>
      </c>
      <c r="X31" s="78" t="str">
        <f>IF($R31&lt;&gt;"OK","",ROUND(($F31*MAX(0,MIN(Setup!$C$13+1,(Setup!$C$5-Setup!$C$7))-Setup!$C$4)+$F31*Setup!$C$8*MAX(0,MIN(Setup!$C$13+1,Setup!$C$5)-MAX((Setup!$C$5-Setup!$C$7),Setup!$C$4))+$W31/4*MAX(0,MIN(Setup!$C$13+1,Setup!$C$5+4)-MAX(Setup!$C$5,Setup!$C$4))+$F31*Setup!$C$14*MAX(0,Setup!$C$13+1-MAX(Setup!$C$5+4,Setup!$C$4))),0))</f>
        <v/>
      </c>
      <c r="Y31" s="78" t="str">
        <f>IF($R31&lt;&gt;"OK","",ROUND($F31*Setup!$C$15,0))</f>
        <v/>
      </c>
      <c r="Z31" s="78" t="str">
        <f>IF($R31&lt;&gt;"OK","",IF(AND($L31&lt;&gt;"",$L31&gt;0),IF($M31&lt;=Setup!$C$13,$L31,0),0))</f>
        <v/>
      </c>
      <c r="AA31" s="78" t="str">
        <f>IF($R31&lt;&gt;"OK","",MAX(0,$X31+$Y31-$K31-$Z31))</f>
        <v/>
      </c>
      <c r="AB31" s="78" t="str">
        <f>IF($R31&lt;&gt;"OK","",IF($AA31=0,0,CEILING(MAX($AA31,IF($Q31="",0,$Q31)),IF(OR($P31="",$P31&lt;=0),1,$P31))))</f>
        <v/>
      </c>
      <c r="AC31" s="78" t="str">
        <f>IF($R31&lt;&gt;"OK","",$AB31*$D31)</f>
        <v/>
      </c>
      <c r="AD31" s="93" t="str">
        <f>IF($R31&lt;&gt;"OK","",INDEX(Setup!$D$25:$D$29,MATCH($O31,Setup!$B$25:$B$29,0)))</f>
        <v/>
      </c>
      <c r="AE31" s="93" t="str">
        <f>IF($R31&lt;&gt;"OK","",$AD31-$N31)</f>
        <v/>
      </c>
      <c r="AF31" s="79" t="str">
        <f>IF($R31&lt;&gt;"OK","",IF($AB31=0,"No order needed",IF($AE31&gt;=$AS31,"Order by the deadline",IF(AND($O31&lt;&gt;"Domestic",Setup!$D$27-$N31&gt;=$AS31),"Late by this mode: fly it",IF(Setup!$D$28-$N31&gt;=$AS31,"Late: Express courier only",IF($AG31&lt;Setup!$C$5,"Tight: lands before Black Friday",IF(AND($O31&lt;&gt;"Domestic",$AT31&lt;Setup!$C$5),"Tight: by Air lands before Black Friday",IF($AS31+$N31+Setup!$C$28+Setup!$C$11&lt;Setup!$C$5,"Tight: by Express lands before Black Friday","Too late: ration"))))))))</f>
        <v/>
      </c>
      <c r="AG31" s="93" t="str">
        <f>IF($R31&lt;&gt;"OK","",IF($AB31=0,"",$AS31+$N31+INDEX(Setup!$C$25:$C$29,MATCH($O31,Setup!$B$25:$B$29,0))+Setup!$C$11))</f>
        <v/>
      </c>
      <c r="AH31" s="93" t="str">
        <f>IF($R31&lt;&gt;"OK","",IF($F31&lt;=0,"",INT(IF($K31&lt;($F31*MAX(0,(Setup!$C$5-Setup!$C$7)-Setup!$C$4)),Setup!$C$4+$K31/$F31,IF($K31&lt;($F31*MAX(0,(Setup!$C$5-Setup!$C$7)-Setup!$C$4))+($F31*Setup!$C$8*MAX(0,Setup!$C$5-MAX((Setup!$C$5-Setup!$C$7),Setup!$C$4))),MAX((Setup!$C$5-Setup!$C$7),Setup!$C$4)+($K31-($F31*MAX(0,(Setup!$C$5-Setup!$C$7)-Setup!$C$4)))/($F31*Setup!$C$8),IF(AND($W31&gt;0,$K31&lt;($F31*MAX(0,(Setup!$C$5-Setup!$C$7)-Setup!$C$4))+($F31*Setup!$C$8*MAX(0,Setup!$C$5-MAX((Setup!$C$5-Setup!$C$7),Setup!$C$4)))+($W31/4*MAX(0,Setup!$C$5+4-MAX(Setup!$C$5,Setup!$C$4)))),MAX(Setup!$C$5,Setup!$C$4)+($K31-($F31*MAX(0,(Setup!$C$5-Setup!$C$7)-Setup!$C$4))-($F31*Setup!$C$8*MAX(0,Setup!$C$5-MAX((Setup!$C$5-Setup!$C$7),Setup!$C$4))))/($W31/4),MAX(Setup!$C$5+4,Setup!$C$4)+($K31-($F31*MAX(0,(Setup!$C$5-Setup!$C$7)-Setup!$C$4))-($F31*Setup!$C$8*MAX(0,Setup!$C$5-MAX((Setup!$C$5-Setup!$C$7),Setup!$C$4)))-($W31/4*MAX(0,Setup!$C$5+4-MAX(Setup!$C$5,Setup!$C$4))))/($F31*Setup!$C$14)))))))</f>
        <v/>
      </c>
      <c r="AI31" s="79" t="str">
        <f>IF($R31&lt;&gt;"OK","",IF(AND($L31&lt;&gt;"",$L31&gt;0,ISNUMBER($AH31),$M31&gt;$AH31),"Runs out before the incoming delivery arrives",IF($AB31=0,"OK",IF($K31+IF(AND($L31&lt;&gt;"",$L31&gt;0),IF($M31&lt;=$AG31,$L31,0),0)&lt;($F31*MAX(0,MIN($AG31,(Setup!$C$5-Setup!$C$7))-Setup!$C$4)+$F31*Setup!$C$8*MAX(0,MIN($AG31,Setup!$C$5)-MAX((Setup!$C$5-Setup!$C$7),Setup!$C$4))+$W31/4*MAX(0,MIN($AG31,Setup!$C$5+4)-MAX(Setup!$C$5,Setup!$C$4))+$F31*Setup!$C$14*MAX(0,$AG31-MAX(Setup!$C$5+4,Setup!$C$4))),"Runs out before this order can land","OK"))))</f>
        <v/>
      </c>
      <c r="AJ31" s="78" t="str">
        <f>IF($R31&lt;&gt;"OK","",IF($AB31=0,0,IF($AL31="Too slow: send it all fast",$AB31,$AR31)))</f>
        <v/>
      </c>
      <c r="AK31" s="78" t="str">
        <f>IF($R31&lt;&gt;"OK","",$AB31-$AJ31)</f>
        <v/>
      </c>
      <c r="AL31" s="78" t="str">
        <f>IF($R31&lt;&gt;"OK","",IF($AB31=0,"",IF($AB31-$AR31=0,"Nothing left over",IF($O31="Domestic",IF($AG31&lt;=Setup!$C$6+Setup!$C$20+1,"Later units can go by Domestic","Too slow: send it all fast"),IF($AS31+$N31+Setup!$C$25+Setup!$C$11&lt;=Setup!$C$6+Setup!$C$20+1,"Later units can go by Ocean long",IF($AS31+$N31+Setup!$C$26+Setup!$C$11&lt;=Setup!$C$6+Setup!$C$20+1,"Later units can go by Ocean short",IF($AS31+$N31+Setup!$C$27+Setup!$C$11&lt;=Setup!$C$6+Setup!$C$20+1,"Later units can go by Air",IF($AS31+$N31+Setup!$C$28+Setup!$C$11&lt;=Setup!$C$6+Setup!$C$20+1,"Later units can go by Express","Too slow: send it all fast"))))))))</f>
        <v/>
      </c>
      <c r="AM31" s="94" t="str">
        <f>IF($R31&lt;&gt;"OK","",$E31-$D31)</f>
        <v/>
      </c>
      <c r="AN31" s="95" t="str">
        <f>IF($R31&lt;&gt;"OK","",($E31-$D31)/$D31)</f>
        <v/>
      </c>
      <c r="AO31" s="95" t="str">
        <f>IF($R31&lt;&gt;"OK","",IF($AB31&gt;0,$AN31+IF($C31="Evergreen",1000,0),""))</f>
        <v/>
      </c>
      <c r="AP31" s="78" t="str">
        <f>IF(OR($R31&lt;&gt;"OK",$AO31=""),"",COUNTIF($AO$6:$AO$205,"&gt;"&amp;$AO31)+COUNTIF($AO$6:$AO31,$AO31))</f>
        <v/>
      </c>
      <c r="AQ31" s="78" t="str">
        <f>IF(OR($R31&lt;&gt;"OK",$AP31=""),"",INDEX('Buy list'!$G$5:$G$204,$AP31))</f>
        <v/>
      </c>
      <c r="AR31" s="78" t="str">
        <f>IF($R31&lt;&gt;"OK","",IF($AB31=0,0,MIN($AB31,CEILING(MAX(0,($F31*MAX(0,MIN((Setup!$C$6+1+Setup!$C$20),(Setup!$C$5-Setup!$C$7))-Setup!$C$4)+$F31*Setup!$C$8*MAX(0,MIN((Setup!$C$6+1+Setup!$C$20),Setup!$C$5)-MAX((Setup!$C$5-Setup!$C$7),Setup!$C$4))+$W31/4*MAX(0,MIN((Setup!$C$6+1+Setup!$C$20),Setup!$C$5+4)-MAX(Setup!$C$5,Setup!$C$4))+$F31*Setup!$C$14*MAX(0,(Setup!$C$6+1+Setup!$C$20)-MAX(Setup!$C$5+4,Setup!$C$4)))+$Y31-$K31-IF(AND($L31&lt;&gt;"",$L31&gt;0),IF($M31&lt;=Setup!$C$10,$L31,0),0)),IF(OR($P31="",$P31&lt;=0),1,$P31)))))</f>
        <v/>
      </c>
      <c r="AS31" s="96" t="str">
        <f>IF($R31&lt;&gt;"OK","",IF(AND($O31&lt;&gt;"Domestic",ISNUMBER(Setup!$C$22),Setup!$C$22&gt;Setup!$C$4),Setup!$C$22,Setup!$C$4))</f>
        <v/>
      </c>
      <c r="AT31" s="96" t="str">
        <f>IF($R31&lt;&gt;"OK","",IF($AB31=0,"",IF($O31="Domestic",$AG31,$AS31+$N31+Setup!$C$27+Setup!$C$11)))</f>
        <v/>
      </c>
    </row>
    <row r="32" ht="15" customHeight="1" s="46">
      <c r="A32" s="70" t="n"/>
      <c r="B32" s="70" t="n"/>
      <c r="C32" s="70" t="n"/>
      <c r="D32" s="85" t="n"/>
      <c r="E32" s="85" t="n"/>
      <c r="F32" s="86" t="n"/>
      <c r="G32" s="87" t="n"/>
      <c r="H32" s="88" t="n"/>
      <c r="I32" s="89" t="n"/>
      <c r="J32" s="90" t="n"/>
      <c r="K32" s="87" t="n"/>
      <c r="L32" s="87" t="n"/>
      <c r="M32" s="91" t="n"/>
      <c r="N32" s="92" t="n"/>
      <c r="O32" s="70" t="n"/>
      <c r="P32" s="92" t="n"/>
      <c r="Q32" s="87" t="n"/>
      <c r="R32" s="79" t="str">
        <f>IF($A32="","",IF($C32="","Missing: type",IF(OR($D32="",$D32&lt;=0),"Missing: unit cost",IF($E32="","Missing: unit price",IF($F32="","Missing: daily sales",IF($K32="","Missing: on hand",IF($N32="","Missing: production days",IF($O32="","Missing: freight mode",IF(ISNA(MATCH($O32,Setup!$B$25:$B$29,0)),"Unknown freight mode",IF(AND($L32&lt;&gt;"",$L32&gt;0,$M32=""),"Missing: on-order arrival date","OK"))))))))))</f>
        <v/>
      </c>
      <c r="S32" s="78" t="str">
        <f>IF($R32&lt;&gt;"OK","",IF($G32="","",ROUND($G32/IF(OR($H32="",$H32&lt;=0),4,$H32)*4,0)))</f>
        <v/>
      </c>
      <c r="T32" s="78" t="str">
        <f>IF($R32&lt;&gt;"OK","",ROUND(IF($G32="",$F32*4*Setup!$C$19,$G32/IF(OR($H32="",$H32&lt;=0),4,$H32)*4*(1+IF($I32="",Setup!$C$16,$I32)))*IF($J32="",1,$J32),0))</f>
        <v/>
      </c>
      <c r="U32" s="78" t="str">
        <f>IF($R32&lt;&gt;"OK","",ROUND($T32*Setup!$C$17,0))</f>
        <v/>
      </c>
      <c r="V32" s="78" t="str">
        <f>IF($R32&lt;&gt;"OK","",ROUND($T32*Setup!$C$18,0))</f>
        <v/>
      </c>
      <c r="W32" s="78" t="str">
        <f>IF($R32&lt;&gt;"OK","",IF($C32="Evergreen",$V32,IF($C32="Seasonal or new",$U32,$T32)))</f>
        <v/>
      </c>
      <c r="X32" s="78" t="str">
        <f>IF($R32&lt;&gt;"OK","",ROUND(($F32*MAX(0,MIN(Setup!$C$13+1,(Setup!$C$5-Setup!$C$7))-Setup!$C$4)+$F32*Setup!$C$8*MAX(0,MIN(Setup!$C$13+1,Setup!$C$5)-MAX((Setup!$C$5-Setup!$C$7),Setup!$C$4))+$W32/4*MAX(0,MIN(Setup!$C$13+1,Setup!$C$5+4)-MAX(Setup!$C$5,Setup!$C$4))+$F32*Setup!$C$14*MAX(0,Setup!$C$13+1-MAX(Setup!$C$5+4,Setup!$C$4))),0))</f>
        <v/>
      </c>
      <c r="Y32" s="78" t="str">
        <f>IF($R32&lt;&gt;"OK","",ROUND($F32*Setup!$C$15,0))</f>
        <v/>
      </c>
      <c r="Z32" s="78" t="str">
        <f>IF($R32&lt;&gt;"OK","",IF(AND($L32&lt;&gt;"",$L32&gt;0),IF($M32&lt;=Setup!$C$13,$L32,0),0))</f>
        <v/>
      </c>
      <c r="AA32" s="78" t="str">
        <f>IF($R32&lt;&gt;"OK","",MAX(0,$X32+$Y32-$K32-$Z32))</f>
        <v/>
      </c>
      <c r="AB32" s="78" t="str">
        <f>IF($R32&lt;&gt;"OK","",IF($AA32=0,0,CEILING(MAX($AA32,IF($Q32="",0,$Q32)),IF(OR($P32="",$P32&lt;=0),1,$P32))))</f>
        <v/>
      </c>
      <c r="AC32" s="78" t="str">
        <f>IF($R32&lt;&gt;"OK","",$AB32*$D32)</f>
        <v/>
      </c>
      <c r="AD32" s="93" t="str">
        <f>IF($R32&lt;&gt;"OK","",INDEX(Setup!$D$25:$D$29,MATCH($O32,Setup!$B$25:$B$29,0)))</f>
        <v/>
      </c>
      <c r="AE32" s="93" t="str">
        <f>IF($R32&lt;&gt;"OK","",$AD32-$N32)</f>
        <v/>
      </c>
      <c r="AF32" s="79" t="str">
        <f>IF($R32&lt;&gt;"OK","",IF($AB32=0,"No order needed",IF($AE32&gt;=$AS32,"Order by the deadline",IF(AND($O32&lt;&gt;"Domestic",Setup!$D$27-$N32&gt;=$AS32),"Late by this mode: fly it",IF(Setup!$D$28-$N32&gt;=$AS32,"Late: Express courier only",IF($AG32&lt;Setup!$C$5,"Tight: lands before Black Friday",IF(AND($O32&lt;&gt;"Domestic",$AT32&lt;Setup!$C$5),"Tight: by Air lands before Black Friday",IF($AS32+$N32+Setup!$C$28+Setup!$C$11&lt;Setup!$C$5,"Tight: by Express lands before Black Friday","Too late: ration"))))))))</f>
        <v/>
      </c>
      <c r="AG32" s="93" t="str">
        <f>IF($R32&lt;&gt;"OK","",IF($AB32=0,"",$AS32+$N32+INDEX(Setup!$C$25:$C$29,MATCH($O32,Setup!$B$25:$B$29,0))+Setup!$C$11))</f>
        <v/>
      </c>
      <c r="AH32" s="93" t="str">
        <f>IF($R32&lt;&gt;"OK","",IF($F32&lt;=0,"",INT(IF($K32&lt;($F32*MAX(0,(Setup!$C$5-Setup!$C$7)-Setup!$C$4)),Setup!$C$4+$K32/$F32,IF($K32&lt;($F32*MAX(0,(Setup!$C$5-Setup!$C$7)-Setup!$C$4))+($F32*Setup!$C$8*MAX(0,Setup!$C$5-MAX((Setup!$C$5-Setup!$C$7),Setup!$C$4))),MAX((Setup!$C$5-Setup!$C$7),Setup!$C$4)+($K32-($F32*MAX(0,(Setup!$C$5-Setup!$C$7)-Setup!$C$4)))/($F32*Setup!$C$8),IF(AND($W32&gt;0,$K32&lt;($F32*MAX(0,(Setup!$C$5-Setup!$C$7)-Setup!$C$4))+($F32*Setup!$C$8*MAX(0,Setup!$C$5-MAX((Setup!$C$5-Setup!$C$7),Setup!$C$4)))+($W32/4*MAX(0,Setup!$C$5+4-MAX(Setup!$C$5,Setup!$C$4)))),MAX(Setup!$C$5,Setup!$C$4)+($K32-($F32*MAX(0,(Setup!$C$5-Setup!$C$7)-Setup!$C$4))-($F32*Setup!$C$8*MAX(0,Setup!$C$5-MAX((Setup!$C$5-Setup!$C$7),Setup!$C$4))))/($W32/4),MAX(Setup!$C$5+4,Setup!$C$4)+($K32-($F32*MAX(0,(Setup!$C$5-Setup!$C$7)-Setup!$C$4))-($F32*Setup!$C$8*MAX(0,Setup!$C$5-MAX((Setup!$C$5-Setup!$C$7),Setup!$C$4)))-($W32/4*MAX(0,Setup!$C$5+4-MAX(Setup!$C$5,Setup!$C$4))))/($F32*Setup!$C$14)))))))</f>
        <v/>
      </c>
      <c r="AI32" s="79" t="str">
        <f>IF($R32&lt;&gt;"OK","",IF(AND($L32&lt;&gt;"",$L32&gt;0,ISNUMBER($AH32),$M32&gt;$AH32),"Runs out before the incoming delivery arrives",IF($AB32=0,"OK",IF($K32+IF(AND($L32&lt;&gt;"",$L32&gt;0),IF($M32&lt;=$AG32,$L32,0),0)&lt;($F32*MAX(0,MIN($AG32,(Setup!$C$5-Setup!$C$7))-Setup!$C$4)+$F32*Setup!$C$8*MAX(0,MIN($AG32,Setup!$C$5)-MAX((Setup!$C$5-Setup!$C$7),Setup!$C$4))+$W32/4*MAX(0,MIN($AG32,Setup!$C$5+4)-MAX(Setup!$C$5,Setup!$C$4))+$F32*Setup!$C$14*MAX(0,$AG32-MAX(Setup!$C$5+4,Setup!$C$4))),"Runs out before this order can land","OK"))))</f>
        <v/>
      </c>
      <c r="AJ32" s="78" t="str">
        <f>IF($R32&lt;&gt;"OK","",IF($AB32=0,0,IF($AL32="Too slow: send it all fast",$AB32,$AR32)))</f>
        <v/>
      </c>
      <c r="AK32" s="78" t="str">
        <f>IF($R32&lt;&gt;"OK","",$AB32-$AJ32)</f>
        <v/>
      </c>
      <c r="AL32" s="78" t="str">
        <f>IF($R32&lt;&gt;"OK","",IF($AB32=0,"",IF($AB32-$AR32=0,"Nothing left over",IF($O32="Domestic",IF($AG32&lt;=Setup!$C$6+Setup!$C$20+1,"Later units can go by Domestic","Too slow: send it all fast"),IF($AS32+$N32+Setup!$C$25+Setup!$C$11&lt;=Setup!$C$6+Setup!$C$20+1,"Later units can go by Ocean long",IF($AS32+$N32+Setup!$C$26+Setup!$C$11&lt;=Setup!$C$6+Setup!$C$20+1,"Later units can go by Ocean short",IF($AS32+$N32+Setup!$C$27+Setup!$C$11&lt;=Setup!$C$6+Setup!$C$20+1,"Later units can go by Air",IF($AS32+$N32+Setup!$C$28+Setup!$C$11&lt;=Setup!$C$6+Setup!$C$20+1,"Later units can go by Express","Too slow: send it all fast"))))))))</f>
        <v/>
      </c>
      <c r="AM32" s="94" t="str">
        <f>IF($R32&lt;&gt;"OK","",$E32-$D32)</f>
        <v/>
      </c>
      <c r="AN32" s="95" t="str">
        <f>IF($R32&lt;&gt;"OK","",($E32-$D32)/$D32)</f>
        <v/>
      </c>
      <c r="AO32" s="95" t="str">
        <f>IF($R32&lt;&gt;"OK","",IF($AB32&gt;0,$AN32+IF($C32="Evergreen",1000,0),""))</f>
        <v/>
      </c>
      <c r="AP32" s="78" t="str">
        <f>IF(OR($R32&lt;&gt;"OK",$AO32=""),"",COUNTIF($AO$6:$AO$205,"&gt;"&amp;$AO32)+COUNTIF($AO$6:$AO32,$AO32))</f>
        <v/>
      </c>
      <c r="AQ32" s="78" t="str">
        <f>IF(OR($R32&lt;&gt;"OK",$AP32=""),"",INDEX('Buy list'!$G$5:$G$204,$AP32))</f>
        <v/>
      </c>
      <c r="AR32" s="78" t="str">
        <f>IF($R32&lt;&gt;"OK","",IF($AB32=0,0,MIN($AB32,CEILING(MAX(0,($F32*MAX(0,MIN((Setup!$C$6+1+Setup!$C$20),(Setup!$C$5-Setup!$C$7))-Setup!$C$4)+$F32*Setup!$C$8*MAX(0,MIN((Setup!$C$6+1+Setup!$C$20),Setup!$C$5)-MAX((Setup!$C$5-Setup!$C$7),Setup!$C$4))+$W32/4*MAX(0,MIN((Setup!$C$6+1+Setup!$C$20),Setup!$C$5+4)-MAX(Setup!$C$5,Setup!$C$4))+$F32*Setup!$C$14*MAX(0,(Setup!$C$6+1+Setup!$C$20)-MAX(Setup!$C$5+4,Setup!$C$4)))+$Y32-$K32-IF(AND($L32&lt;&gt;"",$L32&gt;0),IF($M32&lt;=Setup!$C$10,$L32,0),0)),IF(OR($P32="",$P32&lt;=0),1,$P32)))))</f>
        <v/>
      </c>
      <c r="AS32" s="96" t="str">
        <f>IF($R32&lt;&gt;"OK","",IF(AND($O32&lt;&gt;"Domestic",ISNUMBER(Setup!$C$22),Setup!$C$22&gt;Setup!$C$4),Setup!$C$22,Setup!$C$4))</f>
        <v/>
      </c>
      <c r="AT32" s="96" t="str">
        <f>IF($R32&lt;&gt;"OK","",IF($AB32=0,"",IF($O32="Domestic",$AG32,$AS32+$N32+Setup!$C$27+Setup!$C$11)))</f>
        <v/>
      </c>
    </row>
    <row r="33" ht="15" customHeight="1" s="46">
      <c r="A33" s="70" t="n"/>
      <c r="B33" s="70" t="n"/>
      <c r="C33" s="70" t="n"/>
      <c r="D33" s="85" t="n"/>
      <c r="E33" s="85" t="n"/>
      <c r="F33" s="86" t="n"/>
      <c r="G33" s="87" t="n"/>
      <c r="H33" s="88" t="n"/>
      <c r="I33" s="89" t="n"/>
      <c r="J33" s="90" t="n"/>
      <c r="K33" s="87" t="n"/>
      <c r="L33" s="87" t="n"/>
      <c r="M33" s="91" t="n"/>
      <c r="N33" s="92" t="n"/>
      <c r="O33" s="70" t="n"/>
      <c r="P33" s="92" t="n"/>
      <c r="Q33" s="87" t="n"/>
      <c r="R33" s="79" t="str">
        <f>IF($A33="","",IF($C33="","Missing: type",IF(OR($D33="",$D33&lt;=0),"Missing: unit cost",IF($E33="","Missing: unit price",IF($F33="","Missing: daily sales",IF($K33="","Missing: on hand",IF($N33="","Missing: production days",IF($O33="","Missing: freight mode",IF(ISNA(MATCH($O33,Setup!$B$25:$B$29,0)),"Unknown freight mode",IF(AND($L33&lt;&gt;"",$L33&gt;0,$M33=""),"Missing: on-order arrival date","OK"))))))))))</f>
        <v/>
      </c>
      <c r="S33" s="78" t="str">
        <f>IF($R33&lt;&gt;"OK","",IF($G33="","",ROUND($G33/IF(OR($H33="",$H33&lt;=0),4,$H33)*4,0)))</f>
        <v/>
      </c>
      <c r="T33" s="78" t="str">
        <f>IF($R33&lt;&gt;"OK","",ROUND(IF($G33="",$F33*4*Setup!$C$19,$G33/IF(OR($H33="",$H33&lt;=0),4,$H33)*4*(1+IF($I33="",Setup!$C$16,$I33)))*IF($J33="",1,$J33),0))</f>
        <v/>
      </c>
      <c r="U33" s="78" t="str">
        <f>IF($R33&lt;&gt;"OK","",ROUND($T33*Setup!$C$17,0))</f>
        <v/>
      </c>
      <c r="V33" s="78" t="str">
        <f>IF($R33&lt;&gt;"OK","",ROUND($T33*Setup!$C$18,0))</f>
        <v/>
      </c>
      <c r="W33" s="78" t="str">
        <f>IF($R33&lt;&gt;"OK","",IF($C33="Evergreen",$V33,IF($C33="Seasonal or new",$U33,$T33)))</f>
        <v/>
      </c>
      <c r="X33" s="78" t="str">
        <f>IF($R33&lt;&gt;"OK","",ROUND(($F33*MAX(0,MIN(Setup!$C$13+1,(Setup!$C$5-Setup!$C$7))-Setup!$C$4)+$F33*Setup!$C$8*MAX(0,MIN(Setup!$C$13+1,Setup!$C$5)-MAX((Setup!$C$5-Setup!$C$7),Setup!$C$4))+$W33/4*MAX(0,MIN(Setup!$C$13+1,Setup!$C$5+4)-MAX(Setup!$C$5,Setup!$C$4))+$F33*Setup!$C$14*MAX(0,Setup!$C$13+1-MAX(Setup!$C$5+4,Setup!$C$4))),0))</f>
        <v/>
      </c>
      <c r="Y33" s="78" t="str">
        <f>IF($R33&lt;&gt;"OK","",ROUND($F33*Setup!$C$15,0))</f>
        <v/>
      </c>
      <c r="Z33" s="78" t="str">
        <f>IF($R33&lt;&gt;"OK","",IF(AND($L33&lt;&gt;"",$L33&gt;0),IF($M33&lt;=Setup!$C$13,$L33,0),0))</f>
        <v/>
      </c>
      <c r="AA33" s="78" t="str">
        <f>IF($R33&lt;&gt;"OK","",MAX(0,$X33+$Y33-$K33-$Z33))</f>
        <v/>
      </c>
      <c r="AB33" s="78" t="str">
        <f>IF($R33&lt;&gt;"OK","",IF($AA33=0,0,CEILING(MAX($AA33,IF($Q33="",0,$Q33)),IF(OR($P33="",$P33&lt;=0),1,$P33))))</f>
        <v/>
      </c>
      <c r="AC33" s="78" t="str">
        <f>IF($R33&lt;&gt;"OK","",$AB33*$D33)</f>
        <v/>
      </c>
      <c r="AD33" s="93" t="str">
        <f>IF($R33&lt;&gt;"OK","",INDEX(Setup!$D$25:$D$29,MATCH($O33,Setup!$B$25:$B$29,0)))</f>
        <v/>
      </c>
      <c r="AE33" s="93" t="str">
        <f>IF($R33&lt;&gt;"OK","",$AD33-$N33)</f>
        <v/>
      </c>
      <c r="AF33" s="79" t="str">
        <f>IF($R33&lt;&gt;"OK","",IF($AB33=0,"No order needed",IF($AE33&gt;=$AS33,"Order by the deadline",IF(AND($O33&lt;&gt;"Domestic",Setup!$D$27-$N33&gt;=$AS33),"Late by this mode: fly it",IF(Setup!$D$28-$N33&gt;=$AS33,"Late: Express courier only",IF($AG33&lt;Setup!$C$5,"Tight: lands before Black Friday",IF(AND($O33&lt;&gt;"Domestic",$AT33&lt;Setup!$C$5),"Tight: by Air lands before Black Friday",IF($AS33+$N33+Setup!$C$28+Setup!$C$11&lt;Setup!$C$5,"Tight: by Express lands before Black Friday","Too late: ration"))))))))</f>
        <v/>
      </c>
      <c r="AG33" s="93" t="str">
        <f>IF($R33&lt;&gt;"OK","",IF($AB33=0,"",$AS33+$N33+INDEX(Setup!$C$25:$C$29,MATCH($O33,Setup!$B$25:$B$29,0))+Setup!$C$11))</f>
        <v/>
      </c>
      <c r="AH33" s="93" t="str">
        <f>IF($R33&lt;&gt;"OK","",IF($F33&lt;=0,"",INT(IF($K33&lt;($F33*MAX(0,(Setup!$C$5-Setup!$C$7)-Setup!$C$4)),Setup!$C$4+$K33/$F33,IF($K33&lt;($F33*MAX(0,(Setup!$C$5-Setup!$C$7)-Setup!$C$4))+($F33*Setup!$C$8*MAX(0,Setup!$C$5-MAX((Setup!$C$5-Setup!$C$7),Setup!$C$4))),MAX((Setup!$C$5-Setup!$C$7),Setup!$C$4)+($K33-($F33*MAX(0,(Setup!$C$5-Setup!$C$7)-Setup!$C$4)))/($F33*Setup!$C$8),IF(AND($W33&gt;0,$K33&lt;($F33*MAX(0,(Setup!$C$5-Setup!$C$7)-Setup!$C$4))+($F33*Setup!$C$8*MAX(0,Setup!$C$5-MAX((Setup!$C$5-Setup!$C$7),Setup!$C$4)))+($W33/4*MAX(0,Setup!$C$5+4-MAX(Setup!$C$5,Setup!$C$4)))),MAX(Setup!$C$5,Setup!$C$4)+($K33-($F33*MAX(0,(Setup!$C$5-Setup!$C$7)-Setup!$C$4))-($F33*Setup!$C$8*MAX(0,Setup!$C$5-MAX((Setup!$C$5-Setup!$C$7),Setup!$C$4))))/($W33/4),MAX(Setup!$C$5+4,Setup!$C$4)+($K33-($F33*MAX(0,(Setup!$C$5-Setup!$C$7)-Setup!$C$4))-($F33*Setup!$C$8*MAX(0,Setup!$C$5-MAX((Setup!$C$5-Setup!$C$7),Setup!$C$4)))-($W33/4*MAX(0,Setup!$C$5+4-MAX(Setup!$C$5,Setup!$C$4))))/($F33*Setup!$C$14)))))))</f>
        <v/>
      </c>
      <c r="AI33" s="79" t="str">
        <f>IF($R33&lt;&gt;"OK","",IF(AND($L33&lt;&gt;"",$L33&gt;0,ISNUMBER($AH33),$M33&gt;$AH33),"Runs out before the incoming delivery arrives",IF($AB33=0,"OK",IF($K33+IF(AND($L33&lt;&gt;"",$L33&gt;0),IF($M33&lt;=$AG33,$L33,0),0)&lt;($F33*MAX(0,MIN($AG33,(Setup!$C$5-Setup!$C$7))-Setup!$C$4)+$F33*Setup!$C$8*MAX(0,MIN($AG33,Setup!$C$5)-MAX((Setup!$C$5-Setup!$C$7),Setup!$C$4))+$W33/4*MAX(0,MIN($AG33,Setup!$C$5+4)-MAX(Setup!$C$5,Setup!$C$4))+$F33*Setup!$C$14*MAX(0,$AG33-MAX(Setup!$C$5+4,Setup!$C$4))),"Runs out before this order can land","OK"))))</f>
        <v/>
      </c>
      <c r="AJ33" s="78" t="str">
        <f>IF($R33&lt;&gt;"OK","",IF($AB33=0,0,IF($AL33="Too slow: send it all fast",$AB33,$AR33)))</f>
        <v/>
      </c>
      <c r="AK33" s="78" t="str">
        <f>IF($R33&lt;&gt;"OK","",$AB33-$AJ33)</f>
        <v/>
      </c>
      <c r="AL33" s="78" t="str">
        <f>IF($R33&lt;&gt;"OK","",IF($AB33=0,"",IF($AB33-$AR33=0,"Nothing left over",IF($O33="Domestic",IF($AG33&lt;=Setup!$C$6+Setup!$C$20+1,"Later units can go by Domestic","Too slow: send it all fast"),IF($AS33+$N33+Setup!$C$25+Setup!$C$11&lt;=Setup!$C$6+Setup!$C$20+1,"Later units can go by Ocean long",IF($AS33+$N33+Setup!$C$26+Setup!$C$11&lt;=Setup!$C$6+Setup!$C$20+1,"Later units can go by Ocean short",IF($AS33+$N33+Setup!$C$27+Setup!$C$11&lt;=Setup!$C$6+Setup!$C$20+1,"Later units can go by Air",IF($AS33+$N33+Setup!$C$28+Setup!$C$11&lt;=Setup!$C$6+Setup!$C$20+1,"Later units can go by Express","Too slow: send it all fast"))))))))</f>
        <v/>
      </c>
      <c r="AM33" s="94" t="str">
        <f>IF($R33&lt;&gt;"OK","",$E33-$D33)</f>
        <v/>
      </c>
      <c r="AN33" s="95" t="str">
        <f>IF($R33&lt;&gt;"OK","",($E33-$D33)/$D33)</f>
        <v/>
      </c>
      <c r="AO33" s="95" t="str">
        <f>IF($R33&lt;&gt;"OK","",IF($AB33&gt;0,$AN33+IF($C33="Evergreen",1000,0),""))</f>
        <v/>
      </c>
      <c r="AP33" s="78" t="str">
        <f>IF(OR($R33&lt;&gt;"OK",$AO33=""),"",COUNTIF($AO$6:$AO$205,"&gt;"&amp;$AO33)+COUNTIF($AO$6:$AO33,$AO33))</f>
        <v/>
      </c>
      <c r="AQ33" s="78" t="str">
        <f>IF(OR($R33&lt;&gt;"OK",$AP33=""),"",INDEX('Buy list'!$G$5:$G$204,$AP33))</f>
        <v/>
      </c>
      <c r="AR33" s="78" t="str">
        <f>IF($R33&lt;&gt;"OK","",IF($AB33=0,0,MIN($AB33,CEILING(MAX(0,($F33*MAX(0,MIN((Setup!$C$6+1+Setup!$C$20),(Setup!$C$5-Setup!$C$7))-Setup!$C$4)+$F33*Setup!$C$8*MAX(0,MIN((Setup!$C$6+1+Setup!$C$20),Setup!$C$5)-MAX((Setup!$C$5-Setup!$C$7),Setup!$C$4))+$W33/4*MAX(0,MIN((Setup!$C$6+1+Setup!$C$20),Setup!$C$5+4)-MAX(Setup!$C$5,Setup!$C$4))+$F33*Setup!$C$14*MAX(0,(Setup!$C$6+1+Setup!$C$20)-MAX(Setup!$C$5+4,Setup!$C$4)))+$Y33-$K33-IF(AND($L33&lt;&gt;"",$L33&gt;0),IF($M33&lt;=Setup!$C$10,$L33,0),0)),IF(OR($P33="",$P33&lt;=0),1,$P33)))))</f>
        <v/>
      </c>
      <c r="AS33" s="96" t="str">
        <f>IF($R33&lt;&gt;"OK","",IF(AND($O33&lt;&gt;"Domestic",ISNUMBER(Setup!$C$22),Setup!$C$22&gt;Setup!$C$4),Setup!$C$22,Setup!$C$4))</f>
        <v/>
      </c>
      <c r="AT33" s="96" t="str">
        <f>IF($R33&lt;&gt;"OK","",IF($AB33=0,"",IF($O33="Domestic",$AG33,$AS33+$N33+Setup!$C$27+Setup!$C$11)))</f>
        <v/>
      </c>
    </row>
    <row r="34" ht="15" customHeight="1" s="46">
      <c r="A34" s="70" t="n"/>
      <c r="B34" s="70" t="n"/>
      <c r="C34" s="70" t="n"/>
      <c r="D34" s="85" t="n"/>
      <c r="E34" s="85" t="n"/>
      <c r="F34" s="86" t="n"/>
      <c r="G34" s="87" t="n"/>
      <c r="H34" s="88" t="n"/>
      <c r="I34" s="89" t="n"/>
      <c r="J34" s="90" t="n"/>
      <c r="K34" s="87" t="n"/>
      <c r="L34" s="87" t="n"/>
      <c r="M34" s="91" t="n"/>
      <c r="N34" s="92" t="n"/>
      <c r="O34" s="70" t="n"/>
      <c r="P34" s="92" t="n"/>
      <c r="Q34" s="87" t="n"/>
      <c r="R34" s="79" t="str">
        <f>IF($A34="","",IF($C34="","Missing: type",IF(OR($D34="",$D34&lt;=0),"Missing: unit cost",IF($E34="","Missing: unit price",IF($F34="","Missing: daily sales",IF($K34="","Missing: on hand",IF($N34="","Missing: production days",IF($O34="","Missing: freight mode",IF(ISNA(MATCH($O34,Setup!$B$25:$B$29,0)),"Unknown freight mode",IF(AND($L34&lt;&gt;"",$L34&gt;0,$M34=""),"Missing: on-order arrival date","OK"))))))))))</f>
        <v/>
      </c>
      <c r="S34" s="78" t="str">
        <f>IF($R34&lt;&gt;"OK","",IF($G34="","",ROUND($G34/IF(OR($H34="",$H34&lt;=0),4,$H34)*4,0)))</f>
        <v/>
      </c>
      <c r="T34" s="78" t="str">
        <f>IF($R34&lt;&gt;"OK","",ROUND(IF($G34="",$F34*4*Setup!$C$19,$G34/IF(OR($H34="",$H34&lt;=0),4,$H34)*4*(1+IF($I34="",Setup!$C$16,$I34)))*IF($J34="",1,$J34),0))</f>
        <v/>
      </c>
      <c r="U34" s="78" t="str">
        <f>IF($R34&lt;&gt;"OK","",ROUND($T34*Setup!$C$17,0))</f>
        <v/>
      </c>
      <c r="V34" s="78" t="str">
        <f>IF($R34&lt;&gt;"OK","",ROUND($T34*Setup!$C$18,0))</f>
        <v/>
      </c>
      <c r="W34" s="78" t="str">
        <f>IF($R34&lt;&gt;"OK","",IF($C34="Evergreen",$V34,IF($C34="Seasonal or new",$U34,$T34)))</f>
        <v/>
      </c>
      <c r="X34" s="78" t="str">
        <f>IF($R34&lt;&gt;"OK","",ROUND(($F34*MAX(0,MIN(Setup!$C$13+1,(Setup!$C$5-Setup!$C$7))-Setup!$C$4)+$F34*Setup!$C$8*MAX(0,MIN(Setup!$C$13+1,Setup!$C$5)-MAX((Setup!$C$5-Setup!$C$7),Setup!$C$4))+$W34/4*MAX(0,MIN(Setup!$C$13+1,Setup!$C$5+4)-MAX(Setup!$C$5,Setup!$C$4))+$F34*Setup!$C$14*MAX(0,Setup!$C$13+1-MAX(Setup!$C$5+4,Setup!$C$4))),0))</f>
        <v/>
      </c>
      <c r="Y34" s="78" t="str">
        <f>IF($R34&lt;&gt;"OK","",ROUND($F34*Setup!$C$15,0))</f>
        <v/>
      </c>
      <c r="Z34" s="78" t="str">
        <f>IF($R34&lt;&gt;"OK","",IF(AND($L34&lt;&gt;"",$L34&gt;0),IF($M34&lt;=Setup!$C$13,$L34,0),0))</f>
        <v/>
      </c>
      <c r="AA34" s="78" t="str">
        <f>IF($R34&lt;&gt;"OK","",MAX(0,$X34+$Y34-$K34-$Z34))</f>
        <v/>
      </c>
      <c r="AB34" s="78" t="str">
        <f>IF($R34&lt;&gt;"OK","",IF($AA34=0,0,CEILING(MAX($AA34,IF($Q34="",0,$Q34)),IF(OR($P34="",$P34&lt;=0),1,$P34))))</f>
        <v/>
      </c>
      <c r="AC34" s="78" t="str">
        <f>IF($R34&lt;&gt;"OK","",$AB34*$D34)</f>
        <v/>
      </c>
      <c r="AD34" s="93" t="str">
        <f>IF($R34&lt;&gt;"OK","",INDEX(Setup!$D$25:$D$29,MATCH($O34,Setup!$B$25:$B$29,0)))</f>
        <v/>
      </c>
      <c r="AE34" s="93" t="str">
        <f>IF($R34&lt;&gt;"OK","",$AD34-$N34)</f>
        <v/>
      </c>
      <c r="AF34" s="79" t="str">
        <f>IF($R34&lt;&gt;"OK","",IF($AB34=0,"No order needed",IF($AE34&gt;=$AS34,"Order by the deadline",IF(AND($O34&lt;&gt;"Domestic",Setup!$D$27-$N34&gt;=$AS34),"Late by this mode: fly it",IF(Setup!$D$28-$N34&gt;=$AS34,"Late: Express courier only",IF($AG34&lt;Setup!$C$5,"Tight: lands before Black Friday",IF(AND($O34&lt;&gt;"Domestic",$AT34&lt;Setup!$C$5),"Tight: by Air lands before Black Friday",IF($AS34+$N34+Setup!$C$28+Setup!$C$11&lt;Setup!$C$5,"Tight: by Express lands before Black Friday","Too late: ration"))))))))</f>
        <v/>
      </c>
      <c r="AG34" s="93" t="str">
        <f>IF($R34&lt;&gt;"OK","",IF($AB34=0,"",$AS34+$N34+INDEX(Setup!$C$25:$C$29,MATCH($O34,Setup!$B$25:$B$29,0))+Setup!$C$11))</f>
        <v/>
      </c>
      <c r="AH34" s="93" t="str">
        <f>IF($R34&lt;&gt;"OK","",IF($F34&lt;=0,"",INT(IF($K34&lt;($F34*MAX(0,(Setup!$C$5-Setup!$C$7)-Setup!$C$4)),Setup!$C$4+$K34/$F34,IF($K34&lt;($F34*MAX(0,(Setup!$C$5-Setup!$C$7)-Setup!$C$4))+($F34*Setup!$C$8*MAX(0,Setup!$C$5-MAX((Setup!$C$5-Setup!$C$7),Setup!$C$4))),MAX((Setup!$C$5-Setup!$C$7),Setup!$C$4)+($K34-($F34*MAX(0,(Setup!$C$5-Setup!$C$7)-Setup!$C$4)))/($F34*Setup!$C$8),IF(AND($W34&gt;0,$K34&lt;($F34*MAX(0,(Setup!$C$5-Setup!$C$7)-Setup!$C$4))+($F34*Setup!$C$8*MAX(0,Setup!$C$5-MAX((Setup!$C$5-Setup!$C$7),Setup!$C$4)))+($W34/4*MAX(0,Setup!$C$5+4-MAX(Setup!$C$5,Setup!$C$4)))),MAX(Setup!$C$5,Setup!$C$4)+($K34-($F34*MAX(0,(Setup!$C$5-Setup!$C$7)-Setup!$C$4))-($F34*Setup!$C$8*MAX(0,Setup!$C$5-MAX((Setup!$C$5-Setup!$C$7),Setup!$C$4))))/($W34/4),MAX(Setup!$C$5+4,Setup!$C$4)+($K34-($F34*MAX(0,(Setup!$C$5-Setup!$C$7)-Setup!$C$4))-($F34*Setup!$C$8*MAX(0,Setup!$C$5-MAX((Setup!$C$5-Setup!$C$7),Setup!$C$4)))-($W34/4*MAX(0,Setup!$C$5+4-MAX(Setup!$C$5,Setup!$C$4))))/($F34*Setup!$C$14)))))))</f>
        <v/>
      </c>
      <c r="AI34" s="79" t="str">
        <f>IF($R34&lt;&gt;"OK","",IF(AND($L34&lt;&gt;"",$L34&gt;0,ISNUMBER($AH34),$M34&gt;$AH34),"Runs out before the incoming delivery arrives",IF($AB34=0,"OK",IF($K34+IF(AND($L34&lt;&gt;"",$L34&gt;0),IF($M34&lt;=$AG34,$L34,0),0)&lt;($F34*MAX(0,MIN($AG34,(Setup!$C$5-Setup!$C$7))-Setup!$C$4)+$F34*Setup!$C$8*MAX(0,MIN($AG34,Setup!$C$5)-MAX((Setup!$C$5-Setup!$C$7),Setup!$C$4))+$W34/4*MAX(0,MIN($AG34,Setup!$C$5+4)-MAX(Setup!$C$5,Setup!$C$4))+$F34*Setup!$C$14*MAX(0,$AG34-MAX(Setup!$C$5+4,Setup!$C$4))),"Runs out before this order can land","OK"))))</f>
        <v/>
      </c>
      <c r="AJ34" s="78" t="str">
        <f>IF($R34&lt;&gt;"OK","",IF($AB34=0,0,IF($AL34="Too slow: send it all fast",$AB34,$AR34)))</f>
        <v/>
      </c>
      <c r="AK34" s="78" t="str">
        <f>IF($R34&lt;&gt;"OK","",$AB34-$AJ34)</f>
        <v/>
      </c>
      <c r="AL34" s="78" t="str">
        <f>IF($R34&lt;&gt;"OK","",IF($AB34=0,"",IF($AB34-$AR34=0,"Nothing left over",IF($O34="Domestic",IF($AG34&lt;=Setup!$C$6+Setup!$C$20+1,"Later units can go by Domestic","Too slow: send it all fast"),IF($AS34+$N34+Setup!$C$25+Setup!$C$11&lt;=Setup!$C$6+Setup!$C$20+1,"Later units can go by Ocean long",IF($AS34+$N34+Setup!$C$26+Setup!$C$11&lt;=Setup!$C$6+Setup!$C$20+1,"Later units can go by Ocean short",IF($AS34+$N34+Setup!$C$27+Setup!$C$11&lt;=Setup!$C$6+Setup!$C$20+1,"Later units can go by Air",IF($AS34+$N34+Setup!$C$28+Setup!$C$11&lt;=Setup!$C$6+Setup!$C$20+1,"Later units can go by Express","Too slow: send it all fast"))))))))</f>
        <v/>
      </c>
      <c r="AM34" s="94" t="str">
        <f>IF($R34&lt;&gt;"OK","",$E34-$D34)</f>
        <v/>
      </c>
      <c r="AN34" s="95" t="str">
        <f>IF($R34&lt;&gt;"OK","",($E34-$D34)/$D34)</f>
        <v/>
      </c>
      <c r="AO34" s="95" t="str">
        <f>IF($R34&lt;&gt;"OK","",IF($AB34&gt;0,$AN34+IF($C34="Evergreen",1000,0),""))</f>
        <v/>
      </c>
      <c r="AP34" s="78" t="str">
        <f>IF(OR($R34&lt;&gt;"OK",$AO34=""),"",COUNTIF($AO$6:$AO$205,"&gt;"&amp;$AO34)+COUNTIF($AO$6:$AO34,$AO34))</f>
        <v/>
      </c>
      <c r="AQ34" s="78" t="str">
        <f>IF(OR($R34&lt;&gt;"OK",$AP34=""),"",INDEX('Buy list'!$G$5:$G$204,$AP34))</f>
        <v/>
      </c>
      <c r="AR34" s="78" t="str">
        <f>IF($R34&lt;&gt;"OK","",IF($AB34=0,0,MIN($AB34,CEILING(MAX(0,($F34*MAX(0,MIN((Setup!$C$6+1+Setup!$C$20),(Setup!$C$5-Setup!$C$7))-Setup!$C$4)+$F34*Setup!$C$8*MAX(0,MIN((Setup!$C$6+1+Setup!$C$20),Setup!$C$5)-MAX((Setup!$C$5-Setup!$C$7),Setup!$C$4))+$W34/4*MAX(0,MIN((Setup!$C$6+1+Setup!$C$20),Setup!$C$5+4)-MAX(Setup!$C$5,Setup!$C$4))+$F34*Setup!$C$14*MAX(0,(Setup!$C$6+1+Setup!$C$20)-MAX(Setup!$C$5+4,Setup!$C$4)))+$Y34-$K34-IF(AND($L34&lt;&gt;"",$L34&gt;0),IF($M34&lt;=Setup!$C$10,$L34,0),0)),IF(OR($P34="",$P34&lt;=0),1,$P34)))))</f>
        <v/>
      </c>
      <c r="AS34" s="96" t="str">
        <f>IF($R34&lt;&gt;"OK","",IF(AND($O34&lt;&gt;"Domestic",ISNUMBER(Setup!$C$22),Setup!$C$22&gt;Setup!$C$4),Setup!$C$22,Setup!$C$4))</f>
        <v/>
      </c>
      <c r="AT34" s="96" t="str">
        <f>IF($R34&lt;&gt;"OK","",IF($AB34=0,"",IF($O34="Domestic",$AG34,$AS34+$N34+Setup!$C$27+Setup!$C$11)))</f>
        <v/>
      </c>
    </row>
    <row r="35" ht="15" customHeight="1" s="46">
      <c r="A35" s="70" t="n"/>
      <c r="B35" s="70" t="n"/>
      <c r="C35" s="70" t="n"/>
      <c r="D35" s="85" t="n"/>
      <c r="E35" s="85" t="n"/>
      <c r="F35" s="86" t="n"/>
      <c r="G35" s="87" t="n"/>
      <c r="H35" s="88" t="n"/>
      <c r="I35" s="89" t="n"/>
      <c r="J35" s="90" t="n"/>
      <c r="K35" s="87" t="n"/>
      <c r="L35" s="87" t="n"/>
      <c r="M35" s="91" t="n"/>
      <c r="N35" s="92" t="n"/>
      <c r="O35" s="70" t="n"/>
      <c r="P35" s="92" t="n"/>
      <c r="Q35" s="87" t="n"/>
      <c r="R35" s="79" t="str">
        <f>IF($A35="","",IF($C35="","Missing: type",IF(OR($D35="",$D35&lt;=0),"Missing: unit cost",IF($E35="","Missing: unit price",IF($F35="","Missing: daily sales",IF($K35="","Missing: on hand",IF($N35="","Missing: production days",IF($O35="","Missing: freight mode",IF(ISNA(MATCH($O35,Setup!$B$25:$B$29,0)),"Unknown freight mode",IF(AND($L35&lt;&gt;"",$L35&gt;0,$M35=""),"Missing: on-order arrival date","OK"))))))))))</f>
        <v/>
      </c>
      <c r="S35" s="78" t="str">
        <f>IF($R35&lt;&gt;"OK","",IF($G35="","",ROUND($G35/IF(OR($H35="",$H35&lt;=0),4,$H35)*4,0)))</f>
        <v/>
      </c>
      <c r="T35" s="78" t="str">
        <f>IF($R35&lt;&gt;"OK","",ROUND(IF($G35="",$F35*4*Setup!$C$19,$G35/IF(OR($H35="",$H35&lt;=0),4,$H35)*4*(1+IF($I35="",Setup!$C$16,$I35)))*IF($J35="",1,$J35),0))</f>
        <v/>
      </c>
      <c r="U35" s="78" t="str">
        <f>IF($R35&lt;&gt;"OK","",ROUND($T35*Setup!$C$17,0))</f>
        <v/>
      </c>
      <c r="V35" s="78" t="str">
        <f>IF($R35&lt;&gt;"OK","",ROUND($T35*Setup!$C$18,0))</f>
        <v/>
      </c>
      <c r="W35" s="78" t="str">
        <f>IF($R35&lt;&gt;"OK","",IF($C35="Evergreen",$V35,IF($C35="Seasonal or new",$U35,$T35)))</f>
        <v/>
      </c>
      <c r="X35" s="78" t="str">
        <f>IF($R35&lt;&gt;"OK","",ROUND(($F35*MAX(0,MIN(Setup!$C$13+1,(Setup!$C$5-Setup!$C$7))-Setup!$C$4)+$F35*Setup!$C$8*MAX(0,MIN(Setup!$C$13+1,Setup!$C$5)-MAX((Setup!$C$5-Setup!$C$7),Setup!$C$4))+$W35/4*MAX(0,MIN(Setup!$C$13+1,Setup!$C$5+4)-MAX(Setup!$C$5,Setup!$C$4))+$F35*Setup!$C$14*MAX(0,Setup!$C$13+1-MAX(Setup!$C$5+4,Setup!$C$4))),0))</f>
        <v/>
      </c>
      <c r="Y35" s="78" t="str">
        <f>IF($R35&lt;&gt;"OK","",ROUND($F35*Setup!$C$15,0))</f>
        <v/>
      </c>
      <c r="Z35" s="78" t="str">
        <f>IF($R35&lt;&gt;"OK","",IF(AND($L35&lt;&gt;"",$L35&gt;0),IF($M35&lt;=Setup!$C$13,$L35,0),0))</f>
        <v/>
      </c>
      <c r="AA35" s="78" t="str">
        <f>IF($R35&lt;&gt;"OK","",MAX(0,$X35+$Y35-$K35-$Z35))</f>
        <v/>
      </c>
      <c r="AB35" s="78" t="str">
        <f>IF($R35&lt;&gt;"OK","",IF($AA35=0,0,CEILING(MAX($AA35,IF($Q35="",0,$Q35)),IF(OR($P35="",$P35&lt;=0),1,$P35))))</f>
        <v/>
      </c>
      <c r="AC35" s="78" t="str">
        <f>IF($R35&lt;&gt;"OK","",$AB35*$D35)</f>
        <v/>
      </c>
      <c r="AD35" s="93" t="str">
        <f>IF($R35&lt;&gt;"OK","",INDEX(Setup!$D$25:$D$29,MATCH($O35,Setup!$B$25:$B$29,0)))</f>
        <v/>
      </c>
      <c r="AE35" s="93" t="str">
        <f>IF($R35&lt;&gt;"OK","",$AD35-$N35)</f>
        <v/>
      </c>
      <c r="AF35" s="79" t="str">
        <f>IF($R35&lt;&gt;"OK","",IF($AB35=0,"No order needed",IF($AE35&gt;=$AS35,"Order by the deadline",IF(AND($O35&lt;&gt;"Domestic",Setup!$D$27-$N35&gt;=$AS35),"Late by this mode: fly it",IF(Setup!$D$28-$N35&gt;=$AS35,"Late: Express courier only",IF($AG35&lt;Setup!$C$5,"Tight: lands before Black Friday",IF(AND($O35&lt;&gt;"Domestic",$AT35&lt;Setup!$C$5),"Tight: by Air lands before Black Friday",IF($AS35+$N35+Setup!$C$28+Setup!$C$11&lt;Setup!$C$5,"Tight: by Express lands before Black Friday","Too late: ration"))))))))</f>
        <v/>
      </c>
      <c r="AG35" s="93" t="str">
        <f>IF($R35&lt;&gt;"OK","",IF($AB35=0,"",$AS35+$N35+INDEX(Setup!$C$25:$C$29,MATCH($O35,Setup!$B$25:$B$29,0))+Setup!$C$11))</f>
        <v/>
      </c>
      <c r="AH35" s="93" t="str">
        <f>IF($R35&lt;&gt;"OK","",IF($F35&lt;=0,"",INT(IF($K35&lt;($F35*MAX(0,(Setup!$C$5-Setup!$C$7)-Setup!$C$4)),Setup!$C$4+$K35/$F35,IF($K35&lt;($F35*MAX(0,(Setup!$C$5-Setup!$C$7)-Setup!$C$4))+($F35*Setup!$C$8*MAX(0,Setup!$C$5-MAX((Setup!$C$5-Setup!$C$7),Setup!$C$4))),MAX((Setup!$C$5-Setup!$C$7),Setup!$C$4)+($K35-($F35*MAX(0,(Setup!$C$5-Setup!$C$7)-Setup!$C$4)))/($F35*Setup!$C$8),IF(AND($W35&gt;0,$K35&lt;($F35*MAX(0,(Setup!$C$5-Setup!$C$7)-Setup!$C$4))+($F35*Setup!$C$8*MAX(0,Setup!$C$5-MAX((Setup!$C$5-Setup!$C$7),Setup!$C$4)))+($W35/4*MAX(0,Setup!$C$5+4-MAX(Setup!$C$5,Setup!$C$4)))),MAX(Setup!$C$5,Setup!$C$4)+($K35-($F35*MAX(0,(Setup!$C$5-Setup!$C$7)-Setup!$C$4))-($F35*Setup!$C$8*MAX(0,Setup!$C$5-MAX((Setup!$C$5-Setup!$C$7),Setup!$C$4))))/($W35/4),MAX(Setup!$C$5+4,Setup!$C$4)+($K35-($F35*MAX(0,(Setup!$C$5-Setup!$C$7)-Setup!$C$4))-($F35*Setup!$C$8*MAX(0,Setup!$C$5-MAX((Setup!$C$5-Setup!$C$7),Setup!$C$4)))-($W35/4*MAX(0,Setup!$C$5+4-MAX(Setup!$C$5,Setup!$C$4))))/($F35*Setup!$C$14)))))))</f>
        <v/>
      </c>
      <c r="AI35" s="79" t="str">
        <f>IF($R35&lt;&gt;"OK","",IF(AND($L35&lt;&gt;"",$L35&gt;0,ISNUMBER($AH35),$M35&gt;$AH35),"Runs out before the incoming delivery arrives",IF($AB35=0,"OK",IF($K35+IF(AND($L35&lt;&gt;"",$L35&gt;0),IF($M35&lt;=$AG35,$L35,0),0)&lt;($F35*MAX(0,MIN($AG35,(Setup!$C$5-Setup!$C$7))-Setup!$C$4)+$F35*Setup!$C$8*MAX(0,MIN($AG35,Setup!$C$5)-MAX((Setup!$C$5-Setup!$C$7),Setup!$C$4))+$W35/4*MAX(0,MIN($AG35,Setup!$C$5+4)-MAX(Setup!$C$5,Setup!$C$4))+$F35*Setup!$C$14*MAX(0,$AG35-MAX(Setup!$C$5+4,Setup!$C$4))),"Runs out before this order can land","OK"))))</f>
        <v/>
      </c>
      <c r="AJ35" s="78" t="str">
        <f>IF($R35&lt;&gt;"OK","",IF($AB35=0,0,IF($AL35="Too slow: send it all fast",$AB35,$AR35)))</f>
        <v/>
      </c>
      <c r="AK35" s="78" t="str">
        <f>IF($R35&lt;&gt;"OK","",$AB35-$AJ35)</f>
        <v/>
      </c>
      <c r="AL35" s="78" t="str">
        <f>IF($R35&lt;&gt;"OK","",IF($AB35=0,"",IF($AB35-$AR35=0,"Nothing left over",IF($O35="Domestic",IF($AG35&lt;=Setup!$C$6+Setup!$C$20+1,"Later units can go by Domestic","Too slow: send it all fast"),IF($AS35+$N35+Setup!$C$25+Setup!$C$11&lt;=Setup!$C$6+Setup!$C$20+1,"Later units can go by Ocean long",IF($AS35+$N35+Setup!$C$26+Setup!$C$11&lt;=Setup!$C$6+Setup!$C$20+1,"Later units can go by Ocean short",IF($AS35+$N35+Setup!$C$27+Setup!$C$11&lt;=Setup!$C$6+Setup!$C$20+1,"Later units can go by Air",IF($AS35+$N35+Setup!$C$28+Setup!$C$11&lt;=Setup!$C$6+Setup!$C$20+1,"Later units can go by Express","Too slow: send it all fast"))))))))</f>
        <v/>
      </c>
      <c r="AM35" s="94" t="str">
        <f>IF($R35&lt;&gt;"OK","",$E35-$D35)</f>
        <v/>
      </c>
      <c r="AN35" s="95" t="str">
        <f>IF($R35&lt;&gt;"OK","",($E35-$D35)/$D35)</f>
        <v/>
      </c>
      <c r="AO35" s="95" t="str">
        <f>IF($R35&lt;&gt;"OK","",IF($AB35&gt;0,$AN35+IF($C35="Evergreen",1000,0),""))</f>
        <v/>
      </c>
      <c r="AP35" s="78" t="str">
        <f>IF(OR($R35&lt;&gt;"OK",$AO35=""),"",COUNTIF($AO$6:$AO$205,"&gt;"&amp;$AO35)+COUNTIF($AO$6:$AO35,$AO35))</f>
        <v/>
      </c>
      <c r="AQ35" s="78" t="str">
        <f>IF(OR($R35&lt;&gt;"OK",$AP35=""),"",INDEX('Buy list'!$G$5:$G$204,$AP35))</f>
        <v/>
      </c>
      <c r="AR35" s="78" t="str">
        <f>IF($R35&lt;&gt;"OK","",IF($AB35=0,0,MIN($AB35,CEILING(MAX(0,($F35*MAX(0,MIN((Setup!$C$6+1+Setup!$C$20),(Setup!$C$5-Setup!$C$7))-Setup!$C$4)+$F35*Setup!$C$8*MAX(0,MIN((Setup!$C$6+1+Setup!$C$20),Setup!$C$5)-MAX((Setup!$C$5-Setup!$C$7),Setup!$C$4))+$W35/4*MAX(0,MIN((Setup!$C$6+1+Setup!$C$20),Setup!$C$5+4)-MAX(Setup!$C$5,Setup!$C$4))+$F35*Setup!$C$14*MAX(0,(Setup!$C$6+1+Setup!$C$20)-MAX(Setup!$C$5+4,Setup!$C$4)))+$Y35-$K35-IF(AND($L35&lt;&gt;"",$L35&gt;0),IF($M35&lt;=Setup!$C$10,$L35,0),0)),IF(OR($P35="",$P35&lt;=0),1,$P35)))))</f>
        <v/>
      </c>
      <c r="AS35" s="96" t="str">
        <f>IF($R35&lt;&gt;"OK","",IF(AND($O35&lt;&gt;"Domestic",ISNUMBER(Setup!$C$22),Setup!$C$22&gt;Setup!$C$4),Setup!$C$22,Setup!$C$4))</f>
        <v/>
      </c>
      <c r="AT35" s="96" t="str">
        <f>IF($R35&lt;&gt;"OK","",IF($AB35=0,"",IF($O35="Domestic",$AG35,$AS35+$N35+Setup!$C$27+Setup!$C$11)))</f>
        <v/>
      </c>
    </row>
    <row r="36" ht="15" customHeight="1" s="46">
      <c r="A36" s="70" t="n"/>
      <c r="B36" s="70" t="n"/>
      <c r="C36" s="70" t="n"/>
      <c r="D36" s="85" t="n"/>
      <c r="E36" s="85" t="n"/>
      <c r="F36" s="86" t="n"/>
      <c r="G36" s="87" t="n"/>
      <c r="H36" s="88" t="n"/>
      <c r="I36" s="89" t="n"/>
      <c r="J36" s="90" t="n"/>
      <c r="K36" s="87" t="n"/>
      <c r="L36" s="87" t="n"/>
      <c r="M36" s="91" t="n"/>
      <c r="N36" s="92" t="n"/>
      <c r="O36" s="70" t="n"/>
      <c r="P36" s="92" t="n"/>
      <c r="Q36" s="87" t="n"/>
      <c r="R36" s="79" t="str">
        <f>IF($A36="","",IF($C36="","Missing: type",IF(OR($D36="",$D36&lt;=0),"Missing: unit cost",IF($E36="","Missing: unit price",IF($F36="","Missing: daily sales",IF($K36="","Missing: on hand",IF($N36="","Missing: production days",IF($O36="","Missing: freight mode",IF(ISNA(MATCH($O36,Setup!$B$25:$B$29,0)),"Unknown freight mode",IF(AND($L36&lt;&gt;"",$L36&gt;0,$M36=""),"Missing: on-order arrival date","OK"))))))))))</f>
        <v/>
      </c>
      <c r="S36" s="78" t="str">
        <f>IF($R36&lt;&gt;"OK","",IF($G36="","",ROUND($G36/IF(OR($H36="",$H36&lt;=0),4,$H36)*4,0)))</f>
        <v/>
      </c>
      <c r="T36" s="78" t="str">
        <f>IF($R36&lt;&gt;"OK","",ROUND(IF($G36="",$F36*4*Setup!$C$19,$G36/IF(OR($H36="",$H36&lt;=0),4,$H36)*4*(1+IF($I36="",Setup!$C$16,$I36)))*IF($J36="",1,$J36),0))</f>
        <v/>
      </c>
      <c r="U36" s="78" t="str">
        <f>IF($R36&lt;&gt;"OK","",ROUND($T36*Setup!$C$17,0))</f>
        <v/>
      </c>
      <c r="V36" s="78" t="str">
        <f>IF($R36&lt;&gt;"OK","",ROUND($T36*Setup!$C$18,0))</f>
        <v/>
      </c>
      <c r="W36" s="78" t="str">
        <f>IF($R36&lt;&gt;"OK","",IF($C36="Evergreen",$V36,IF($C36="Seasonal or new",$U36,$T36)))</f>
        <v/>
      </c>
      <c r="X36" s="78" t="str">
        <f>IF($R36&lt;&gt;"OK","",ROUND(($F36*MAX(0,MIN(Setup!$C$13+1,(Setup!$C$5-Setup!$C$7))-Setup!$C$4)+$F36*Setup!$C$8*MAX(0,MIN(Setup!$C$13+1,Setup!$C$5)-MAX((Setup!$C$5-Setup!$C$7),Setup!$C$4))+$W36/4*MAX(0,MIN(Setup!$C$13+1,Setup!$C$5+4)-MAX(Setup!$C$5,Setup!$C$4))+$F36*Setup!$C$14*MAX(0,Setup!$C$13+1-MAX(Setup!$C$5+4,Setup!$C$4))),0))</f>
        <v/>
      </c>
      <c r="Y36" s="78" t="str">
        <f>IF($R36&lt;&gt;"OK","",ROUND($F36*Setup!$C$15,0))</f>
        <v/>
      </c>
      <c r="Z36" s="78" t="str">
        <f>IF($R36&lt;&gt;"OK","",IF(AND($L36&lt;&gt;"",$L36&gt;0),IF($M36&lt;=Setup!$C$13,$L36,0),0))</f>
        <v/>
      </c>
      <c r="AA36" s="78" t="str">
        <f>IF($R36&lt;&gt;"OK","",MAX(0,$X36+$Y36-$K36-$Z36))</f>
        <v/>
      </c>
      <c r="AB36" s="78" t="str">
        <f>IF($R36&lt;&gt;"OK","",IF($AA36=0,0,CEILING(MAX($AA36,IF($Q36="",0,$Q36)),IF(OR($P36="",$P36&lt;=0),1,$P36))))</f>
        <v/>
      </c>
      <c r="AC36" s="78" t="str">
        <f>IF($R36&lt;&gt;"OK","",$AB36*$D36)</f>
        <v/>
      </c>
      <c r="AD36" s="93" t="str">
        <f>IF($R36&lt;&gt;"OK","",INDEX(Setup!$D$25:$D$29,MATCH($O36,Setup!$B$25:$B$29,0)))</f>
        <v/>
      </c>
      <c r="AE36" s="93" t="str">
        <f>IF($R36&lt;&gt;"OK","",$AD36-$N36)</f>
        <v/>
      </c>
      <c r="AF36" s="79" t="str">
        <f>IF($R36&lt;&gt;"OK","",IF($AB36=0,"No order needed",IF($AE36&gt;=$AS36,"Order by the deadline",IF(AND($O36&lt;&gt;"Domestic",Setup!$D$27-$N36&gt;=$AS36),"Late by this mode: fly it",IF(Setup!$D$28-$N36&gt;=$AS36,"Late: Express courier only",IF($AG36&lt;Setup!$C$5,"Tight: lands before Black Friday",IF(AND($O36&lt;&gt;"Domestic",$AT36&lt;Setup!$C$5),"Tight: by Air lands before Black Friday",IF($AS36+$N36+Setup!$C$28+Setup!$C$11&lt;Setup!$C$5,"Tight: by Express lands before Black Friday","Too late: ration"))))))))</f>
        <v/>
      </c>
      <c r="AG36" s="93" t="str">
        <f>IF($R36&lt;&gt;"OK","",IF($AB36=0,"",$AS36+$N36+INDEX(Setup!$C$25:$C$29,MATCH($O36,Setup!$B$25:$B$29,0))+Setup!$C$11))</f>
        <v/>
      </c>
      <c r="AH36" s="93" t="str">
        <f>IF($R36&lt;&gt;"OK","",IF($F36&lt;=0,"",INT(IF($K36&lt;($F36*MAX(0,(Setup!$C$5-Setup!$C$7)-Setup!$C$4)),Setup!$C$4+$K36/$F36,IF($K36&lt;($F36*MAX(0,(Setup!$C$5-Setup!$C$7)-Setup!$C$4))+($F36*Setup!$C$8*MAX(0,Setup!$C$5-MAX((Setup!$C$5-Setup!$C$7),Setup!$C$4))),MAX((Setup!$C$5-Setup!$C$7),Setup!$C$4)+($K36-($F36*MAX(0,(Setup!$C$5-Setup!$C$7)-Setup!$C$4)))/($F36*Setup!$C$8),IF(AND($W36&gt;0,$K36&lt;($F36*MAX(0,(Setup!$C$5-Setup!$C$7)-Setup!$C$4))+($F36*Setup!$C$8*MAX(0,Setup!$C$5-MAX((Setup!$C$5-Setup!$C$7),Setup!$C$4)))+($W36/4*MAX(0,Setup!$C$5+4-MAX(Setup!$C$5,Setup!$C$4)))),MAX(Setup!$C$5,Setup!$C$4)+($K36-($F36*MAX(0,(Setup!$C$5-Setup!$C$7)-Setup!$C$4))-($F36*Setup!$C$8*MAX(0,Setup!$C$5-MAX((Setup!$C$5-Setup!$C$7),Setup!$C$4))))/($W36/4),MAX(Setup!$C$5+4,Setup!$C$4)+($K36-($F36*MAX(0,(Setup!$C$5-Setup!$C$7)-Setup!$C$4))-($F36*Setup!$C$8*MAX(0,Setup!$C$5-MAX((Setup!$C$5-Setup!$C$7),Setup!$C$4)))-($W36/4*MAX(0,Setup!$C$5+4-MAX(Setup!$C$5,Setup!$C$4))))/($F36*Setup!$C$14)))))))</f>
        <v/>
      </c>
      <c r="AI36" s="79" t="str">
        <f>IF($R36&lt;&gt;"OK","",IF(AND($L36&lt;&gt;"",$L36&gt;0,ISNUMBER($AH36),$M36&gt;$AH36),"Runs out before the incoming delivery arrives",IF($AB36=0,"OK",IF($K36+IF(AND($L36&lt;&gt;"",$L36&gt;0),IF($M36&lt;=$AG36,$L36,0),0)&lt;($F36*MAX(0,MIN($AG36,(Setup!$C$5-Setup!$C$7))-Setup!$C$4)+$F36*Setup!$C$8*MAX(0,MIN($AG36,Setup!$C$5)-MAX((Setup!$C$5-Setup!$C$7),Setup!$C$4))+$W36/4*MAX(0,MIN($AG36,Setup!$C$5+4)-MAX(Setup!$C$5,Setup!$C$4))+$F36*Setup!$C$14*MAX(0,$AG36-MAX(Setup!$C$5+4,Setup!$C$4))),"Runs out before this order can land","OK"))))</f>
        <v/>
      </c>
      <c r="AJ36" s="78" t="str">
        <f>IF($R36&lt;&gt;"OK","",IF($AB36=0,0,IF($AL36="Too slow: send it all fast",$AB36,$AR36)))</f>
        <v/>
      </c>
      <c r="AK36" s="78" t="str">
        <f>IF($R36&lt;&gt;"OK","",$AB36-$AJ36)</f>
        <v/>
      </c>
      <c r="AL36" s="78" t="str">
        <f>IF($R36&lt;&gt;"OK","",IF($AB36=0,"",IF($AB36-$AR36=0,"Nothing left over",IF($O36="Domestic",IF($AG36&lt;=Setup!$C$6+Setup!$C$20+1,"Later units can go by Domestic","Too slow: send it all fast"),IF($AS36+$N36+Setup!$C$25+Setup!$C$11&lt;=Setup!$C$6+Setup!$C$20+1,"Later units can go by Ocean long",IF($AS36+$N36+Setup!$C$26+Setup!$C$11&lt;=Setup!$C$6+Setup!$C$20+1,"Later units can go by Ocean short",IF($AS36+$N36+Setup!$C$27+Setup!$C$11&lt;=Setup!$C$6+Setup!$C$20+1,"Later units can go by Air",IF($AS36+$N36+Setup!$C$28+Setup!$C$11&lt;=Setup!$C$6+Setup!$C$20+1,"Later units can go by Express","Too slow: send it all fast"))))))))</f>
        <v/>
      </c>
      <c r="AM36" s="94" t="str">
        <f>IF($R36&lt;&gt;"OK","",$E36-$D36)</f>
        <v/>
      </c>
      <c r="AN36" s="95" t="str">
        <f>IF($R36&lt;&gt;"OK","",($E36-$D36)/$D36)</f>
        <v/>
      </c>
      <c r="AO36" s="95" t="str">
        <f>IF($R36&lt;&gt;"OK","",IF($AB36&gt;0,$AN36+IF($C36="Evergreen",1000,0),""))</f>
        <v/>
      </c>
      <c r="AP36" s="78" t="str">
        <f>IF(OR($R36&lt;&gt;"OK",$AO36=""),"",COUNTIF($AO$6:$AO$205,"&gt;"&amp;$AO36)+COUNTIF($AO$6:$AO36,$AO36))</f>
        <v/>
      </c>
      <c r="AQ36" s="78" t="str">
        <f>IF(OR($R36&lt;&gt;"OK",$AP36=""),"",INDEX('Buy list'!$G$5:$G$204,$AP36))</f>
        <v/>
      </c>
      <c r="AR36" s="78" t="str">
        <f>IF($R36&lt;&gt;"OK","",IF($AB36=0,0,MIN($AB36,CEILING(MAX(0,($F36*MAX(0,MIN((Setup!$C$6+1+Setup!$C$20),(Setup!$C$5-Setup!$C$7))-Setup!$C$4)+$F36*Setup!$C$8*MAX(0,MIN((Setup!$C$6+1+Setup!$C$20),Setup!$C$5)-MAX((Setup!$C$5-Setup!$C$7),Setup!$C$4))+$W36/4*MAX(0,MIN((Setup!$C$6+1+Setup!$C$20),Setup!$C$5+4)-MAX(Setup!$C$5,Setup!$C$4))+$F36*Setup!$C$14*MAX(0,(Setup!$C$6+1+Setup!$C$20)-MAX(Setup!$C$5+4,Setup!$C$4)))+$Y36-$K36-IF(AND($L36&lt;&gt;"",$L36&gt;0),IF($M36&lt;=Setup!$C$10,$L36,0),0)),IF(OR($P36="",$P36&lt;=0),1,$P36)))))</f>
        <v/>
      </c>
      <c r="AS36" s="96" t="str">
        <f>IF($R36&lt;&gt;"OK","",IF(AND($O36&lt;&gt;"Domestic",ISNUMBER(Setup!$C$22),Setup!$C$22&gt;Setup!$C$4),Setup!$C$22,Setup!$C$4))</f>
        <v/>
      </c>
      <c r="AT36" s="96" t="str">
        <f>IF($R36&lt;&gt;"OK","",IF($AB36=0,"",IF($O36="Domestic",$AG36,$AS36+$N36+Setup!$C$27+Setup!$C$11)))</f>
        <v/>
      </c>
    </row>
    <row r="37" ht="15" customHeight="1" s="46">
      <c r="A37" s="70" t="n"/>
      <c r="B37" s="70" t="n"/>
      <c r="C37" s="70" t="n"/>
      <c r="D37" s="85" t="n"/>
      <c r="E37" s="85" t="n"/>
      <c r="F37" s="86" t="n"/>
      <c r="G37" s="87" t="n"/>
      <c r="H37" s="88" t="n"/>
      <c r="I37" s="89" t="n"/>
      <c r="J37" s="90" t="n"/>
      <c r="K37" s="87" t="n"/>
      <c r="L37" s="87" t="n"/>
      <c r="M37" s="91" t="n"/>
      <c r="N37" s="92" t="n"/>
      <c r="O37" s="70" t="n"/>
      <c r="P37" s="92" t="n"/>
      <c r="Q37" s="87" t="n"/>
      <c r="R37" s="79" t="str">
        <f>IF($A37="","",IF($C37="","Missing: type",IF(OR($D37="",$D37&lt;=0),"Missing: unit cost",IF($E37="","Missing: unit price",IF($F37="","Missing: daily sales",IF($K37="","Missing: on hand",IF($N37="","Missing: production days",IF($O37="","Missing: freight mode",IF(ISNA(MATCH($O37,Setup!$B$25:$B$29,0)),"Unknown freight mode",IF(AND($L37&lt;&gt;"",$L37&gt;0,$M37=""),"Missing: on-order arrival date","OK"))))))))))</f>
        <v/>
      </c>
      <c r="S37" s="78" t="str">
        <f>IF($R37&lt;&gt;"OK","",IF($G37="","",ROUND($G37/IF(OR($H37="",$H37&lt;=0),4,$H37)*4,0)))</f>
        <v/>
      </c>
      <c r="T37" s="78" t="str">
        <f>IF($R37&lt;&gt;"OK","",ROUND(IF($G37="",$F37*4*Setup!$C$19,$G37/IF(OR($H37="",$H37&lt;=0),4,$H37)*4*(1+IF($I37="",Setup!$C$16,$I37)))*IF($J37="",1,$J37),0))</f>
        <v/>
      </c>
      <c r="U37" s="78" t="str">
        <f>IF($R37&lt;&gt;"OK","",ROUND($T37*Setup!$C$17,0))</f>
        <v/>
      </c>
      <c r="V37" s="78" t="str">
        <f>IF($R37&lt;&gt;"OK","",ROUND($T37*Setup!$C$18,0))</f>
        <v/>
      </c>
      <c r="W37" s="78" t="str">
        <f>IF($R37&lt;&gt;"OK","",IF($C37="Evergreen",$V37,IF($C37="Seasonal or new",$U37,$T37)))</f>
        <v/>
      </c>
      <c r="X37" s="78" t="str">
        <f>IF($R37&lt;&gt;"OK","",ROUND(($F37*MAX(0,MIN(Setup!$C$13+1,(Setup!$C$5-Setup!$C$7))-Setup!$C$4)+$F37*Setup!$C$8*MAX(0,MIN(Setup!$C$13+1,Setup!$C$5)-MAX((Setup!$C$5-Setup!$C$7),Setup!$C$4))+$W37/4*MAX(0,MIN(Setup!$C$13+1,Setup!$C$5+4)-MAX(Setup!$C$5,Setup!$C$4))+$F37*Setup!$C$14*MAX(0,Setup!$C$13+1-MAX(Setup!$C$5+4,Setup!$C$4))),0))</f>
        <v/>
      </c>
      <c r="Y37" s="78" t="str">
        <f>IF($R37&lt;&gt;"OK","",ROUND($F37*Setup!$C$15,0))</f>
        <v/>
      </c>
      <c r="Z37" s="78" t="str">
        <f>IF($R37&lt;&gt;"OK","",IF(AND($L37&lt;&gt;"",$L37&gt;0),IF($M37&lt;=Setup!$C$13,$L37,0),0))</f>
        <v/>
      </c>
      <c r="AA37" s="78" t="str">
        <f>IF($R37&lt;&gt;"OK","",MAX(0,$X37+$Y37-$K37-$Z37))</f>
        <v/>
      </c>
      <c r="AB37" s="78" t="str">
        <f>IF($R37&lt;&gt;"OK","",IF($AA37=0,0,CEILING(MAX($AA37,IF($Q37="",0,$Q37)),IF(OR($P37="",$P37&lt;=0),1,$P37))))</f>
        <v/>
      </c>
      <c r="AC37" s="78" t="str">
        <f>IF($R37&lt;&gt;"OK","",$AB37*$D37)</f>
        <v/>
      </c>
      <c r="AD37" s="93" t="str">
        <f>IF($R37&lt;&gt;"OK","",INDEX(Setup!$D$25:$D$29,MATCH($O37,Setup!$B$25:$B$29,0)))</f>
        <v/>
      </c>
      <c r="AE37" s="93" t="str">
        <f>IF($R37&lt;&gt;"OK","",$AD37-$N37)</f>
        <v/>
      </c>
      <c r="AF37" s="79" t="str">
        <f>IF($R37&lt;&gt;"OK","",IF($AB37=0,"No order needed",IF($AE37&gt;=$AS37,"Order by the deadline",IF(AND($O37&lt;&gt;"Domestic",Setup!$D$27-$N37&gt;=$AS37),"Late by this mode: fly it",IF(Setup!$D$28-$N37&gt;=$AS37,"Late: Express courier only",IF($AG37&lt;Setup!$C$5,"Tight: lands before Black Friday",IF(AND($O37&lt;&gt;"Domestic",$AT37&lt;Setup!$C$5),"Tight: by Air lands before Black Friday",IF($AS37+$N37+Setup!$C$28+Setup!$C$11&lt;Setup!$C$5,"Tight: by Express lands before Black Friday","Too late: ration"))))))))</f>
        <v/>
      </c>
      <c r="AG37" s="93" t="str">
        <f>IF($R37&lt;&gt;"OK","",IF($AB37=0,"",$AS37+$N37+INDEX(Setup!$C$25:$C$29,MATCH($O37,Setup!$B$25:$B$29,0))+Setup!$C$11))</f>
        <v/>
      </c>
      <c r="AH37" s="93" t="str">
        <f>IF($R37&lt;&gt;"OK","",IF($F37&lt;=0,"",INT(IF($K37&lt;($F37*MAX(0,(Setup!$C$5-Setup!$C$7)-Setup!$C$4)),Setup!$C$4+$K37/$F37,IF($K37&lt;($F37*MAX(0,(Setup!$C$5-Setup!$C$7)-Setup!$C$4))+($F37*Setup!$C$8*MAX(0,Setup!$C$5-MAX((Setup!$C$5-Setup!$C$7),Setup!$C$4))),MAX((Setup!$C$5-Setup!$C$7),Setup!$C$4)+($K37-($F37*MAX(0,(Setup!$C$5-Setup!$C$7)-Setup!$C$4)))/($F37*Setup!$C$8),IF(AND($W37&gt;0,$K37&lt;($F37*MAX(0,(Setup!$C$5-Setup!$C$7)-Setup!$C$4))+($F37*Setup!$C$8*MAX(0,Setup!$C$5-MAX((Setup!$C$5-Setup!$C$7),Setup!$C$4)))+($W37/4*MAX(0,Setup!$C$5+4-MAX(Setup!$C$5,Setup!$C$4)))),MAX(Setup!$C$5,Setup!$C$4)+($K37-($F37*MAX(0,(Setup!$C$5-Setup!$C$7)-Setup!$C$4))-($F37*Setup!$C$8*MAX(0,Setup!$C$5-MAX((Setup!$C$5-Setup!$C$7),Setup!$C$4))))/($W37/4),MAX(Setup!$C$5+4,Setup!$C$4)+($K37-($F37*MAX(0,(Setup!$C$5-Setup!$C$7)-Setup!$C$4))-($F37*Setup!$C$8*MAX(0,Setup!$C$5-MAX((Setup!$C$5-Setup!$C$7),Setup!$C$4)))-($W37/4*MAX(0,Setup!$C$5+4-MAX(Setup!$C$5,Setup!$C$4))))/($F37*Setup!$C$14)))))))</f>
        <v/>
      </c>
      <c r="AI37" s="79" t="str">
        <f>IF($R37&lt;&gt;"OK","",IF(AND($L37&lt;&gt;"",$L37&gt;0,ISNUMBER($AH37),$M37&gt;$AH37),"Runs out before the incoming delivery arrives",IF($AB37=0,"OK",IF($K37+IF(AND($L37&lt;&gt;"",$L37&gt;0),IF($M37&lt;=$AG37,$L37,0),0)&lt;($F37*MAX(0,MIN($AG37,(Setup!$C$5-Setup!$C$7))-Setup!$C$4)+$F37*Setup!$C$8*MAX(0,MIN($AG37,Setup!$C$5)-MAX((Setup!$C$5-Setup!$C$7),Setup!$C$4))+$W37/4*MAX(0,MIN($AG37,Setup!$C$5+4)-MAX(Setup!$C$5,Setup!$C$4))+$F37*Setup!$C$14*MAX(0,$AG37-MAX(Setup!$C$5+4,Setup!$C$4))),"Runs out before this order can land","OK"))))</f>
        <v/>
      </c>
      <c r="AJ37" s="78" t="str">
        <f>IF($R37&lt;&gt;"OK","",IF($AB37=0,0,IF($AL37="Too slow: send it all fast",$AB37,$AR37)))</f>
        <v/>
      </c>
      <c r="AK37" s="78" t="str">
        <f>IF($R37&lt;&gt;"OK","",$AB37-$AJ37)</f>
        <v/>
      </c>
      <c r="AL37" s="78" t="str">
        <f>IF($R37&lt;&gt;"OK","",IF($AB37=0,"",IF($AB37-$AR37=0,"Nothing left over",IF($O37="Domestic",IF($AG37&lt;=Setup!$C$6+Setup!$C$20+1,"Later units can go by Domestic","Too slow: send it all fast"),IF($AS37+$N37+Setup!$C$25+Setup!$C$11&lt;=Setup!$C$6+Setup!$C$20+1,"Later units can go by Ocean long",IF($AS37+$N37+Setup!$C$26+Setup!$C$11&lt;=Setup!$C$6+Setup!$C$20+1,"Later units can go by Ocean short",IF($AS37+$N37+Setup!$C$27+Setup!$C$11&lt;=Setup!$C$6+Setup!$C$20+1,"Later units can go by Air",IF($AS37+$N37+Setup!$C$28+Setup!$C$11&lt;=Setup!$C$6+Setup!$C$20+1,"Later units can go by Express","Too slow: send it all fast"))))))))</f>
        <v/>
      </c>
      <c r="AM37" s="94" t="str">
        <f>IF($R37&lt;&gt;"OK","",$E37-$D37)</f>
        <v/>
      </c>
      <c r="AN37" s="95" t="str">
        <f>IF($R37&lt;&gt;"OK","",($E37-$D37)/$D37)</f>
        <v/>
      </c>
      <c r="AO37" s="95" t="str">
        <f>IF($R37&lt;&gt;"OK","",IF($AB37&gt;0,$AN37+IF($C37="Evergreen",1000,0),""))</f>
        <v/>
      </c>
      <c r="AP37" s="78" t="str">
        <f>IF(OR($R37&lt;&gt;"OK",$AO37=""),"",COUNTIF($AO$6:$AO$205,"&gt;"&amp;$AO37)+COUNTIF($AO$6:$AO37,$AO37))</f>
        <v/>
      </c>
      <c r="AQ37" s="78" t="str">
        <f>IF(OR($R37&lt;&gt;"OK",$AP37=""),"",INDEX('Buy list'!$G$5:$G$204,$AP37))</f>
        <v/>
      </c>
      <c r="AR37" s="78" t="str">
        <f>IF($R37&lt;&gt;"OK","",IF($AB37=0,0,MIN($AB37,CEILING(MAX(0,($F37*MAX(0,MIN((Setup!$C$6+1+Setup!$C$20),(Setup!$C$5-Setup!$C$7))-Setup!$C$4)+$F37*Setup!$C$8*MAX(0,MIN((Setup!$C$6+1+Setup!$C$20),Setup!$C$5)-MAX((Setup!$C$5-Setup!$C$7),Setup!$C$4))+$W37/4*MAX(0,MIN((Setup!$C$6+1+Setup!$C$20),Setup!$C$5+4)-MAX(Setup!$C$5,Setup!$C$4))+$F37*Setup!$C$14*MAX(0,(Setup!$C$6+1+Setup!$C$20)-MAX(Setup!$C$5+4,Setup!$C$4)))+$Y37-$K37-IF(AND($L37&lt;&gt;"",$L37&gt;0),IF($M37&lt;=Setup!$C$10,$L37,0),0)),IF(OR($P37="",$P37&lt;=0),1,$P37)))))</f>
        <v/>
      </c>
      <c r="AS37" s="96" t="str">
        <f>IF($R37&lt;&gt;"OK","",IF(AND($O37&lt;&gt;"Domestic",ISNUMBER(Setup!$C$22),Setup!$C$22&gt;Setup!$C$4),Setup!$C$22,Setup!$C$4))</f>
        <v/>
      </c>
      <c r="AT37" s="96" t="str">
        <f>IF($R37&lt;&gt;"OK","",IF($AB37=0,"",IF($O37="Domestic",$AG37,$AS37+$N37+Setup!$C$27+Setup!$C$11)))</f>
        <v/>
      </c>
    </row>
    <row r="38" ht="15" customHeight="1" s="46">
      <c r="A38" s="70" t="n"/>
      <c r="B38" s="70" t="n"/>
      <c r="C38" s="70" t="n"/>
      <c r="D38" s="85" t="n"/>
      <c r="E38" s="85" t="n"/>
      <c r="F38" s="86" t="n"/>
      <c r="G38" s="87" t="n"/>
      <c r="H38" s="88" t="n"/>
      <c r="I38" s="89" t="n"/>
      <c r="J38" s="90" t="n"/>
      <c r="K38" s="87" t="n"/>
      <c r="L38" s="87" t="n"/>
      <c r="M38" s="91" t="n"/>
      <c r="N38" s="92" t="n"/>
      <c r="O38" s="70" t="n"/>
      <c r="P38" s="92" t="n"/>
      <c r="Q38" s="87" t="n"/>
      <c r="R38" s="79" t="str">
        <f>IF($A38="","",IF($C38="","Missing: type",IF(OR($D38="",$D38&lt;=0),"Missing: unit cost",IF($E38="","Missing: unit price",IF($F38="","Missing: daily sales",IF($K38="","Missing: on hand",IF($N38="","Missing: production days",IF($O38="","Missing: freight mode",IF(ISNA(MATCH($O38,Setup!$B$25:$B$29,0)),"Unknown freight mode",IF(AND($L38&lt;&gt;"",$L38&gt;0,$M38=""),"Missing: on-order arrival date","OK"))))))))))</f>
        <v/>
      </c>
      <c r="S38" s="78" t="str">
        <f>IF($R38&lt;&gt;"OK","",IF($G38="","",ROUND($G38/IF(OR($H38="",$H38&lt;=0),4,$H38)*4,0)))</f>
        <v/>
      </c>
      <c r="T38" s="78" t="str">
        <f>IF($R38&lt;&gt;"OK","",ROUND(IF($G38="",$F38*4*Setup!$C$19,$G38/IF(OR($H38="",$H38&lt;=0),4,$H38)*4*(1+IF($I38="",Setup!$C$16,$I38)))*IF($J38="",1,$J38),0))</f>
        <v/>
      </c>
      <c r="U38" s="78" t="str">
        <f>IF($R38&lt;&gt;"OK","",ROUND($T38*Setup!$C$17,0))</f>
        <v/>
      </c>
      <c r="V38" s="78" t="str">
        <f>IF($R38&lt;&gt;"OK","",ROUND($T38*Setup!$C$18,0))</f>
        <v/>
      </c>
      <c r="W38" s="78" t="str">
        <f>IF($R38&lt;&gt;"OK","",IF($C38="Evergreen",$V38,IF($C38="Seasonal or new",$U38,$T38)))</f>
        <v/>
      </c>
      <c r="X38" s="78" t="str">
        <f>IF($R38&lt;&gt;"OK","",ROUND(($F38*MAX(0,MIN(Setup!$C$13+1,(Setup!$C$5-Setup!$C$7))-Setup!$C$4)+$F38*Setup!$C$8*MAX(0,MIN(Setup!$C$13+1,Setup!$C$5)-MAX((Setup!$C$5-Setup!$C$7),Setup!$C$4))+$W38/4*MAX(0,MIN(Setup!$C$13+1,Setup!$C$5+4)-MAX(Setup!$C$5,Setup!$C$4))+$F38*Setup!$C$14*MAX(0,Setup!$C$13+1-MAX(Setup!$C$5+4,Setup!$C$4))),0))</f>
        <v/>
      </c>
      <c r="Y38" s="78" t="str">
        <f>IF($R38&lt;&gt;"OK","",ROUND($F38*Setup!$C$15,0))</f>
        <v/>
      </c>
      <c r="Z38" s="78" t="str">
        <f>IF($R38&lt;&gt;"OK","",IF(AND($L38&lt;&gt;"",$L38&gt;0),IF($M38&lt;=Setup!$C$13,$L38,0),0))</f>
        <v/>
      </c>
      <c r="AA38" s="78" t="str">
        <f>IF($R38&lt;&gt;"OK","",MAX(0,$X38+$Y38-$K38-$Z38))</f>
        <v/>
      </c>
      <c r="AB38" s="78" t="str">
        <f>IF($R38&lt;&gt;"OK","",IF($AA38=0,0,CEILING(MAX($AA38,IF($Q38="",0,$Q38)),IF(OR($P38="",$P38&lt;=0),1,$P38))))</f>
        <v/>
      </c>
      <c r="AC38" s="78" t="str">
        <f>IF($R38&lt;&gt;"OK","",$AB38*$D38)</f>
        <v/>
      </c>
      <c r="AD38" s="93" t="str">
        <f>IF($R38&lt;&gt;"OK","",INDEX(Setup!$D$25:$D$29,MATCH($O38,Setup!$B$25:$B$29,0)))</f>
        <v/>
      </c>
      <c r="AE38" s="93" t="str">
        <f>IF($R38&lt;&gt;"OK","",$AD38-$N38)</f>
        <v/>
      </c>
      <c r="AF38" s="79" t="str">
        <f>IF($R38&lt;&gt;"OK","",IF($AB38=0,"No order needed",IF($AE38&gt;=$AS38,"Order by the deadline",IF(AND($O38&lt;&gt;"Domestic",Setup!$D$27-$N38&gt;=$AS38),"Late by this mode: fly it",IF(Setup!$D$28-$N38&gt;=$AS38,"Late: Express courier only",IF($AG38&lt;Setup!$C$5,"Tight: lands before Black Friday",IF(AND($O38&lt;&gt;"Domestic",$AT38&lt;Setup!$C$5),"Tight: by Air lands before Black Friday",IF($AS38+$N38+Setup!$C$28+Setup!$C$11&lt;Setup!$C$5,"Tight: by Express lands before Black Friday","Too late: ration"))))))))</f>
        <v/>
      </c>
      <c r="AG38" s="93" t="str">
        <f>IF($R38&lt;&gt;"OK","",IF($AB38=0,"",$AS38+$N38+INDEX(Setup!$C$25:$C$29,MATCH($O38,Setup!$B$25:$B$29,0))+Setup!$C$11))</f>
        <v/>
      </c>
      <c r="AH38" s="93" t="str">
        <f>IF($R38&lt;&gt;"OK","",IF($F38&lt;=0,"",INT(IF($K38&lt;($F38*MAX(0,(Setup!$C$5-Setup!$C$7)-Setup!$C$4)),Setup!$C$4+$K38/$F38,IF($K38&lt;($F38*MAX(0,(Setup!$C$5-Setup!$C$7)-Setup!$C$4))+($F38*Setup!$C$8*MAX(0,Setup!$C$5-MAX((Setup!$C$5-Setup!$C$7),Setup!$C$4))),MAX((Setup!$C$5-Setup!$C$7),Setup!$C$4)+($K38-($F38*MAX(0,(Setup!$C$5-Setup!$C$7)-Setup!$C$4)))/($F38*Setup!$C$8),IF(AND($W38&gt;0,$K38&lt;($F38*MAX(0,(Setup!$C$5-Setup!$C$7)-Setup!$C$4))+($F38*Setup!$C$8*MAX(0,Setup!$C$5-MAX((Setup!$C$5-Setup!$C$7),Setup!$C$4)))+($W38/4*MAX(0,Setup!$C$5+4-MAX(Setup!$C$5,Setup!$C$4)))),MAX(Setup!$C$5,Setup!$C$4)+($K38-($F38*MAX(0,(Setup!$C$5-Setup!$C$7)-Setup!$C$4))-($F38*Setup!$C$8*MAX(0,Setup!$C$5-MAX((Setup!$C$5-Setup!$C$7),Setup!$C$4))))/($W38/4),MAX(Setup!$C$5+4,Setup!$C$4)+($K38-($F38*MAX(0,(Setup!$C$5-Setup!$C$7)-Setup!$C$4))-($F38*Setup!$C$8*MAX(0,Setup!$C$5-MAX((Setup!$C$5-Setup!$C$7),Setup!$C$4)))-($W38/4*MAX(0,Setup!$C$5+4-MAX(Setup!$C$5,Setup!$C$4))))/($F38*Setup!$C$14)))))))</f>
        <v/>
      </c>
      <c r="AI38" s="79" t="str">
        <f>IF($R38&lt;&gt;"OK","",IF(AND($L38&lt;&gt;"",$L38&gt;0,ISNUMBER($AH38),$M38&gt;$AH38),"Runs out before the incoming delivery arrives",IF($AB38=0,"OK",IF($K38+IF(AND($L38&lt;&gt;"",$L38&gt;0),IF($M38&lt;=$AG38,$L38,0),0)&lt;($F38*MAX(0,MIN($AG38,(Setup!$C$5-Setup!$C$7))-Setup!$C$4)+$F38*Setup!$C$8*MAX(0,MIN($AG38,Setup!$C$5)-MAX((Setup!$C$5-Setup!$C$7),Setup!$C$4))+$W38/4*MAX(0,MIN($AG38,Setup!$C$5+4)-MAX(Setup!$C$5,Setup!$C$4))+$F38*Setup!$C$14*MAX(0,$AG38-MAX(Setup!$C$5+4,Setup!$C$4))),"Runs out before this order can land","OK"))))</f>
        <v/>
      </c>
      <c r="AJ38" s="78" t="str">
        <f>IF($R38&lt;&gt;"OK","",IF($AB38=0,0,IF($AL38="Too slow: send it all fast",$AB38,$AR38)))</f>
        <v/>
      </c>
      <c r="AK38" s="78" t="str">
        <f>IF($R38&lt;&gt;"OK","",$AB38-$AJ38)</f>
        <v/>
      </c>
      <c r="AL38" s="78" t="str">
        <f>IF($R38&lt;&gt;"OK","",IF($AB38=0,"",IF($AB38-$AR38=0,"Nothing left over",IF($O38="Domestic",IF($AG38&lt;=Setup!$C$6+Setup!$C$20+1,"Later units can go by Domestic","Too slow: send it all fast"),IF($AS38+$N38+Setup!$C$25+Setup!$C$11&lt;=Setup!$C$6+Setup!$C$20+1,"Later units can go by Ocean long",IF($AS38+$N38+Setup!$C$26+Setup!$C$11&lt;=Setup!$C$6+Setup!$C$20+1,"Later units can go by Ocean short",IF($AS38+$N38+Setup!$C$27+Setup!$C$11&lt;=Setup!$C$6+Setup!$C$20+1,"Later units can go by Air",IF($AS38+$N38+Setup!$C$28+Setup!$C$11&lt;=Setup!$C$6+Setup!$C$20+1,"Later units can go by Express","Too slow: send it all fast"))))))))</f>
        <v/>
      </c>
      <c r="AM38" s="94" t="str">
        <f>IF($R38&lt;&gt;"OK","",$E38-$D38)</f>
        <v/>
      </c>
      <c r="AN38" s="95" t="str">
        <f>IF($R38&lt;&gt;"OK","",($E38-$D38)/$D38)</f>
        <v/>
      </c>
      <c r="AO38" s="95" t="str">
        <f>IF($R38&lt;&gt;"OK","",IF($AB38&gt;0,$AN38+IF($C38="Evergreen",1000,0),""))</f>
        <v/>
      </c>
      <c r="AP38" s="78" t="str">
        <f>IF(OR($R38&lt;&gt;"OK",$AO38=""),"",COUNTIF($AO$6:$AO$205,"&gt;"&amp;$AO38)+COUNTIF($AO$6:$AO38,$AO38))</f>
        <v/>
      </c>
      <c r="AQ38" s="78" t="str">
        <f>IF(OR($R38&lt;&gt;"OK",$AP38=""),"",INDEX('Buy list'!$G$5:$G$204,$AP38))</f>
        <v/>
      </c>
      <c r="AR38" s="78" t="str">
        <f>IF($R38&lt;&gt;"OK","",IF($AB38=0,0,MIN($AB38,CEILING(MAX(0,($F38*MAX(0,MIN((Setup!$C$6+1+Setup!$C$20),(Setup!$C$5-Setup!$C$7))-Setup!$C$4)+$F38*Setup!$C$8*MAX(0,MIN((Setup!$C$6+1+Setup!$C$20),Setup!$C$5)-MAX((Setup!$C$5-Setup!$C$7),Setup!$C$4))+$W38/4*MAX(0,MIN((Setup!$C$6+1+Setup!$C$20),Setup!$C$5+4)-MAX(Setup!$C$5,Setup!$C$4))+$F38*Setup!$C$14*MAX(0,(Setup!$C$6+1+Setup!$C$20)-MAX(Setup!$C$5+4,Setup!$C$4)))+$Y38-$K38-IF(AND($L38&lt;&gt;"",$L38&gt;0),IF($M38&lt;=Setup!$C$10,$L38,0),0)),IF(OR($P38="",$P38&lt;=0),1,$P38)))))</f>
        <v/>
      </c>
      <c r="AS38" s="96" t="str">
        <f>IF($R38&lt;&gt;"OK","",IF(AND($O38&lt;&gt;"Domestic",ISNUMBER(Setup!$C$22),Setup!$C$22&gt;Setup!$C$4),Setup!$C$22,Setup!$C$4))</f>
        <v/>
      </c>
      <c r="AT38" s="96" t="str">
        <f>IF($R38&lt;&gt;"OK","",IF($AB38=0,"",IF($O38="Domestic",$AG38,$AS38+$N38+Setup!$C$27+Setup!$C$11)))</f>
        <v/>
      </c>
    </row>
    <row r="39" ht="15" customHeight="1" s="46">
      <c r="A39" s="70" t="n"/>
      <c r="B39" s="70" t="n"/>
      <c r="C39" s="70" t="n"/>
      <c r="D39" s="85" t="n"/>
      <c r="E39" s="85" t="n"/>
      <c r="F39" s="86" t="n"/>
      <c r="G39" s="87" t="n"/>
      <c r="H39" s="88" t="n"/>
      <c r="I39" s="89" t="n"/>
      <c r="J39" s="90" t="n"/>
      <c r="K39" s="87" t="n"/>
      <c r="L39" s="87" t="n"/>
      <c r="M39" s="91" t="n"/>
      <c r="N39" s="92" t="n"/>
      <c r="O39" s="70" t="n"/>
      <c r="P39" s="92" t="n"/>
      <c r="Q39" s="87" t="n"/>
      <c r="R39" s="79" t="str">
        <f>IF($A39="","",IF($C39="","Missing: type",IF(OR($D39="",$D39&lt;=0),"Missing: unit cost",IF($E39="","Missing: unit price",IF($F39="","Missing: daily sales",IF($K39="","Missing: on hand",IF($N39="","Missing: production days",IF($O39="","Missing: freight mode",IF(ISNA(MATCH($O39,Setup!$B$25:$B$29,0)),"Unknown freight mode",IF(AND($L39&lt;&gt;"",$L39&gt;0,$M39=""),"Missing: on-order arrival date","OK"))))))))))</f>
        <v/>
      </c>
      <c r="S39" s="78" t="str">
        <f>IF($R39&lt;&gt;"OK","",IF($G39="","",ROUND($G39/IF(OR($H39="",$H39&lt;=0),4,$H39)*4,0)))</f>
        <v/>
      </c>
      <c r="T39" s="78" t="str">
        <f>IF($R39&lt;&gt;"OK","",ROUND(IF($G39="",$F39*4*Setup!$C$19,$G39/IF(OR($H39="",$H39&lt;=0),4,$H39)*4*(1+IF($I39="",Setup!$C$16,$I39)))*IF($J39="",1,$J39),0))</f>
        <v/>
      </c>
      <c r="U39" s="78" t="str">
        <f>IF($R39&lt;&gt;"OK","",ROUND($T39*Setup!$C$17,0))</f>
        <v/>
      </c>
      <c r="V39" s="78" t="str">
        <f>IF($R39&lt;&gt;"OK","",ROUND($T39*Setup!$C$18,0))</f>
        <v/>
      </c>
      <c r="W39" s="78" t="str">
        <f>IF($R39&lt;&gt;"OK","",IF($C39="Evergreen",$V39,IF($C39="Seasonal or new",$U39,$T39)))</f>
        <v/>
      </c>
      <c r="X39" s="78" t="str">
        <f>IF($R39&lt;&gt;"OK","",ROUND(($F39*MAX(0,MIN(Setup!$C$13+1,(Setup!$C$5-Setup!$C$7))-Setup!$C$4)+$F39*Setup!$C$8*MAX(0,MIN(Setup!$C$13+1,Setup!$C$5)-MAX((Setup!$C$5-Setup!$C$7),Setup!$C$4))+$W39/4*MAX(0,MIN(Setup!$C$13+1,Setup!$C$5+4)-MAX(Setup!$C$5,Setup!$C$4))+$F39*Setup!$C$14*MAX(0,Setup!$C$13+1-MAX(Setup!$C$5+4,Setup!$C$4))),0))</f>
        <v/>
      </c>
      <c r="Y39" s="78" t="str">
        <f>IF($R39&lt;&gt;"OK","",ROUND($F39*Setup!$C$15,0))</f>
        <v/>
      </c>
      <c r="Z39" s="78" t="str">
        <f>IF($R39&lt;&gt;"OK","",IF(AND($L39&lt;&gt;"",$L39&gt;0),IF($M39&lt;=Setup!$C$13,$L39,0),0))</f>
        <v/>
      </c>
      <c r="AA39" s="78" t="str">
        <f>IF($R39&lt;&gt;"OK","",MAX(0,$X39+$Y39-$K39-$Z39))</f>
        <v/>
      </c>
      <c r="AB39" s="78" t="str">
        <f>IF($R39&lt;&gt;"OK","",IF($AA39=0,0,CEILING(MAX($AA39,IF($Q39="",0,$Q39)),IF(OR($P39="",$P39&lt;=0),1,$P39))))</f>
        <v/>
      </c>
      <c r="AC39" s="78" t="str">
        <f>IF($R39&lt;&gt;"OK","",$AB39*$D39)</f>
        <v/>
      </c>
      <c r="AD39" s="93" t="str">
        <f>IF($R39&lt;&gt;"OK","",INDEX(Setup!$D$25:$D$29,MATCH($O39,Setup!$B$25:$B$29,0)))</f>
        <v/>
      </c>
      <c r="AE39" s="93" t="str">
        <f>IF($R39&lt;&gt;"OK","",$AD39-$N39)</f>
        <v/>
      </c>
      <c r="AF39" s="79" t="str">
        <f>IF($R39&lt;&gt;"OK","",IF($AB39=0,"No order needed",IF($AE39&gt;=$AS39,"Order by the deadline",IF(AND($O39&lt;&gt;"Domestic",Setup!$D$27-$N39&gt;=$AS39),"Late by this mode: fly it",IF(Setup!$D$28-$N39&gt;=$AS39,"Late: Express courier only",IF($AG39&lt;Setup!$C$5,"Tight: lands before Black Friday",IF(AND($O39&lt;&gt;"Domestic",$AT39&lt;Setup!$C$5),"Tight: by Air lands before Black Friday",IF($AS39+$N39+Setup!$C$28+Setup!$C$11&lt;Setup!$C$5,"Tight: by Express lands before Black Friday","Too late: ration"))))))))</f>
        <v/>
      </c>
      <c r="AG39" s="93" t="str">
        <f>IF($R39&lt;&gt;"OK","",IF($AB39=0,"",$AS39+$N39+INDEX(Setup!$C$25:$C$29,MATCH($O39,Setup!$B$25:$B$29,0))+Setup!$C$11))</f>
        <v/>
      </c>
      <c r="AH39" s="93" t="str">
        <f>IF($R39&lt;&gt;"OK","",IF($F39&lt;=0,"",INT(IF($K39&lt;($F39*MAX(0,(Setup!$C$5-Setup!$C$7)-Setup!$C$4)),Setup!$C$4+$K39/$F39,IF($K39&lt;($F39*MAX(0,(Setup!$C$5-Setup!$C$7)-Setup!$C$4))+($F39*Setup!$C$8*MAX(0,Setup!$C$5-MAX((Setup!$C$5-Setup!$C$7),Setup!$C$4))),MAX((Setup!$C$5-Setup!$C$7),Setup!$C$4)+($K39-($F39*MAX(0,(Setup!$C$5-Setup!$C$7)-Setup!$C$4)))/($F39*Setup!$C$8),IF(AND($W39&gt;0,$K39&lt;($F39*MAX(0,(Setup!$C$5-Setup!$C$7)-Setup!$C$4))+($F39*Setup!$C$8*MAX(0,Setup!$C$5-MAX((Setup!$C$5-Setup!$C$7),Setup!$C$4)))+($W39/4*MAX(0,Setup!$C$5+4-MAX(Setup!$C$5,Setup!$C$4)))),MAX(Setup!$C$5,Setup!$C$4)+($K39-($F39*MAX(0,(Setup!$C$5-Setup!$C$7)-Setup!$C$4))-($F39*Setup!$C$8*MAX(0,Setup!$C$5-MAX((Setup!$C$5-Setup!$C$7),Setup!$C$4))))/($W39/4),MAX(Setup!$C$5+4,Setup!$C$4)+($K39-($F39*MAX(0,(Setup!$C$5-Setup!$C$7)-Setup!$C$4))-($F39*Setup!$C$8*MAX(0,Setup!$C$5-MAX((Setup!$C$5-Setup!$C$7),Setup!$C$4)))-($W39/4*MAX(0,Setup!$C$5+4-MAX(Setup!$C$5,Setup!$C$4))))/($F39*Setup!$C$14)))))))</f>
        <v/>
      </c>
      <c r="AI39" s="79" t="str">
        <f>IF($R39&lt;&gt;"OK","",IF(AND($L39&lt;&gt;"",$L39&gt;0,ISNUMBER($AH39),$M39&gt;$AH39),"Runs out before the incoming delivery arrives",IF($AB39=0,"OK",IF($K39+IF(AND($L39&lt;&gt;"",$L39&gt;0),IF($M39&lt;=$AG39,$L39,0),0)&lt;($F39*MAX(0,MIN($AG39,(Setup!$C$5-Setup!$C$7))-Setup!$C$4)+$F39*Setup!$C$8*MAX(0,MIN($AG39,Setup!$C$5)-MAX((Setup!$C$5-Setup!$C$7),Setup!$C$4))+$W39/4*MAX(0,MIN($AG39,Setup!$C$5+4)-MAX(Setup!$C$5,Setup!$C$4))+$F39*Setup!$C$14*MAX(0,$AG39-MAX(Setup!$C$5+4,Setup!$C$4))),"Runs out before this order can land","OK"))))</f>
        <v/>
      </c>
      <c r="AJ39" s="78" t="str">
        <f>IF($R39&lt;&gt;"OK","",IF($AB39=0,0,IF($AL39="Too slow: send it all fast",$AB39,$AR39)))</f>
        <v/>
      </c>
      <c r="AK39" s="78" t="str">
        <f>IF($R39&lt;&gt;"OK","",$AB39-$AJ39)</f>
        <v/>
      </c>
      <c r="AL39" s="78" t="str">
        <f>IF($R39&lt;&gt;"OK","",IF($AB39=0,"",IF($AB39-$AR39=0,"Nothing left over",IF($O39="Domestic",IF($AG39&lt;=Setup!$C$6+Setup!$C$20+1,"Later units can go by Domestic","Too slow: send it all fast"),IF($AS39+$N39+Setup!$C$25+Setup!$C$11&lt;=Setup!$C$6+Setup!$C$20+1,"Later units can go by Ocean long",IF($AS39+$N39+Setup!$C$26+Setup!$C$11&lt;=Setup!$C$6+Setup!$C$20+1,"Later units can go by Ocean short",IF($AS39+$N39+Setup!$C$27+Setup!$C$11&lt;=Setup!$C$6+Setup!$C$20+1,"Later units can go by Air",IF($AS39+$N39+Setup!$C$28+Setup!$C$11&lt;=Setup!$C$6+Setup!$C$20+1,"Later units can go by Express","Too slow: send it all fast"))))))))</f>
        <v/>
      </c>
      <c r="AM39" s="94" t="str">
        <f>IF($R39&lt;&gt;"OK","",$E39-$D39)</f>
        <v/>
      </c>
      <c r="AN39" s="95" t="str">
        <f>IF($R39&lt;&gt;"OK","",($E39-$D39)/$D39)</f>
        <v/>
      </c>
      <c r="AO39" s="95" t="str">
        <f>IF($R39&lt;&gt;"OK","",IF($AB39&gt;0,$AN39+IF($C39="Evergreen",1000,0),""))</f>
        <v/>
      </c>
      <c r="AP39" s="78" t="str">
        <f>IF(OR($R39&lt;&gt;"OK",$AO39=""),"",COUNTIF($AO$6:$AO$205,"&gt;"&amp;$AO39)+COUNTIF($AO$6:$AO39,$AO39))</f>
        <v/>
      </c>
      <c r="AQ39" s="78" t="str">
        <f>IF(OR($R39&lt;&gt;"OK",$AP39=""),"",INDEX('Buy list'!$G$5:$G$204,$AP39))</f>
        <v/>
      </c>
      <c r="AR39" s="78" t="str">
        <f>IF($R39&lt;&gt;"OK","",IF($AB39=0,0,MIN($AB39,CEILING(MAX(0,($F39*MAX(0,MIN((Setup!$C$6+1+Setup!$C$20),(Setup!$C$5-Setup!$C$7))-Setup!$C$4)+$F39*Setup!$C$8*MAX(0,MIN((Setup!$C$6+1+Setup!$C$20),Setup!$C$5)-MAX((Setup!$C$5-Setup!$C$7),Setup!$C$4))+$W39/4*MAX(0,MIN((Setup!$C$6+1+Setup!$C$20),Setup!$C$5+4)-MAX(Setup!$C$5,Setup!$C$4))+$F39*Setup!$C$14*MAX(0,(Setup!$C$6+1+Setup!$C$20)-MAX(Setup!$C$5+4,Setup!$C$4)))+$Y39-$K39-IF(AND($L39&lt;&gt;"",$L39&gt;0),IF($M39&lt;=Setup!$C$10,$L39,0),0)),IF(OR($P39="",$P39&lt;=0),1,$P39)))))</f>
        <v/>
      </c>
      <c r="AS39" s="96" t="str">
        <f>IF($R39&lt;&gt;"OK","",IF(AND($O39&lt;&gt;"Domestic",ISNUMBER(Setup!$C$22),Setup!$C$22&gt;Setup!$C$4),Setup!$C$22,Setup!$C$4))</f>
        <v/>
      </c>
      <c r="AT39" s="96" t="str">
        <f>IF($R39&lt;&gt;"OK","",IF($AB39=0,"",IF($O39="Domestic",$AG39,$AS39+$N39+Setup!$C$27+Setup!$C$11)))</f>
        <v/>
      </c>
    </row>
    <row r="40" ht="15" customHeight="1" s="46">
      <c r="A40" s="70" t="n"/>
      <c r="B40" s="70" t="n"/>
      <c r="C40" s="70" t="n"/>
      <c r="D40" s="85" t="n"/>
      <c r="E40" s="85" t="n"/>
      <c r="F40" s="86" t="n"/>
      <c r="G40" s="87" t="n"/>
      <c r="H40" s="88" t="n"/>
      <c r="I40" s="89" t="n"/>
      <c r="J40" s="90" t="n"/>
      <c r="K40" s="87" t="n"/>
      <c r="L40" s="87" t="n"/>
      <c r="M40" s="91" t="n"/>
      <c r="N40" s="92" t="n"/>
      <c r="O40" s="70" t="n"/>
      <c r="P40" s="92" t="n"/>
      <c r="Q40" s="87" t="n"/>
      <c r="R40" s="79" t="str">
        <f>IF($A40="","",IF($C40="","Missing: type",IF(OR($D40="",$D40&lt;=0),"Missing: unit cost",IF($E40="","Missing: unit price",IF($F40="","Missing: daily sales",IF($K40="","Missing: on hand",IF($N40="","Missing: production days",IF($O40="","Missing: freight mode",IF(ISNA(MATCH($O40,Setup!$B$25:$B$29,0)),"Unknown freight mode",IF(AND($L40&lt;&gt;"",$L40&gt;0,$M40=""),"Missing: on-order arrival date","OK"))))))))))</f>
        <v/>
      </c>
      <c r="S40" s="78" t="str">
        <f>IF($R40&lt;&gt;"OK","",IF($G40="","",ROUND($G40/IF(OR($H40="",$H40&lt;=0),4,$H40)*4,0)))</f>
        <v/>
      </c>
      <c r="T40" s="78" t="str">
        <f>IF($R40&lt;&gt;"OK","",ROUND(IF($G40="",$F40*4*Setup!$C$19,$G40/IF(OR($H40="",$H40&lt;=0),4,$H40)*4*(1+IF($I40="",Setup!$C$16,$I40)))*IF($J40="",1,$J40),0))</f>
        <v/>
      </c>
      <c r="U40" s="78" t="str">
        <f>IF($R40&lt;&gt;"OK","",ROUND($T40*Setup!$C$17,0))</f>
        <v/>
      </c>
      <c r="V40" s="78" t="str">
        <f>IF($R40&lt;&gt;"OK","",ROUND($T40*Setup!$C$18,0))</f>
        <v/>
      </c>
      <c r="W40" s="78" t="str">
        <f>IF($R40&lt;&gt;"OK","",IF($C40="Evergreen",$V40,IF($C40="Seasonal or new",$U40,$T40)))</f>
        <v/>
      </c>
      <c r="X40" s="78" t="str">
        <f>IF($R40&lt;&gt;"OK","",ROUND(($F40*MAX(0,MIN(Setup!$C$13+1,(Setup!$C$5-Setup!$C$7))-Setup!$C$4)+$F40*Setup!$C$8*MAX(0,MIN(Setup!$C$13+1,Setup!$C$5)-MAX((Setup!$C$5-Setup!$C$7),Setup!$C$4))+$W40/4*MAX(0,MIN(Setup!$C$13+1,Setup!$C$5+4)-MAX(Setup!$C$5,Setup!$C$4))+$F40*Setup!$C$14*MAX(0,Setup!$C$13+1-MAX(Setup!$C$5+4,Setup!$C$4))),0))</f>
        <v/>
      </c>
      <c r="Y40" s="78" t="str">
        <f>IF($R40&lt;&gt;"OK","",ROUND($F40*Setup!$C$15,0))</f>
        <v/>
      </c>
      <c r="Z40" s="78" t="str">
        <f>IF($R40&lt;&gt;"OK","",IF(AND($L40&lt;&gt;"",$L40&gt;0),IF($M40&lt;=Setup!$C$13,$L40,0),0))</f>
        <v/>
      </c>
      <c r="AA40" s="78" t="str">
        <f>IF($R40&lt;&gt;"OK","",MAX(0,$X40+$Y40-$K40-$Z40))</f>
        <v/>
      </c>
      <c r="AB40" s="78" t="str">
        <f>IF($R40&lt;&gt;"OK","",IF($AA40=0,0,CEILING(MAX($AA40,IF($Q40="",0,$Q40)),IF(OR($P40="",$P40&lt;=0),1,$P40))))</f>
        <v/>
      </c>
      <c r="AC40" s="78" t="str">
        <f>IF($R40&lt;&gt;"OK","",$AB40*$D40)</f>
        <v/>
      </c>
      <c r="AD40" s="93" t="str">
        <f>IF($R40&lt;&gt;"OK","",INDEX(Setup!$D$25:$D$29,MATCH($O40,Setup!$B$25:$B$29,0)))</f>
        <v/>
      </c>
      <c r="AE40" s="93" t="str">
        <f>IF($R40&lt;&gt;"OK","",$AD40-$N40)</f>
        <v/>
      </c>
      <c r="AF40" s="79" t="str">
        <f>IF($R40&lt;&gt;"OK","",IF($AB40=0,"No order needed",IF($AE40&gt;=$AS40,"Order by the deadline",IF(AND($O40&lt;&gt;"Domestic",Setup!$D$27-$N40&gt;=$AS40),"Late by this mode: fly it",IF(Setup!$D$28-$N40&gt;=$AS40,"Late: Express courier only",IF($AG40&lt;Setup!$C$5,"Tight: lands before Black Friday",IF(AND($O40&lt;&gt;"Domestic",$AT40&lt;Setup!$C$5),"Tight: by Air lands before Black Friday",IF($AS40+$N40+Setup!$C$28+Setup!$C$11&lt;Setup!$C$5,"Tight: by Express lands before Black Friday","Too late: ration"))))))))</f>
        <v/>
      </c>
      <c r="AG40" s="93" t="str">
        <f>IF($R40&lt;&gt;"OK","",IF($AB40=0,"",$AS40+$N40+INDEX(Setup!$C$25:$C$29,MATCH($O40,Setup!$B$25:$B$29,0))+Setup!$C$11))</f>
        <v/>
      </c>
      <c r="AH40" s="93" t="str">
        <f>IF($R40&lt;&gt;"OK","",IF($F40&lt;=0,"",INT(IF($K40&lt;($F40*MAX(0,(Setup!$C$5-Setup!$C$7)-Setup!$C$4)),Setup!$C$4+$K40/$F40,IF($K40&lt;($F40*MAX(0,(Setup!$C$5-Setup!$C$7)-Setup!$C$4))+($F40*Setup!$C$8*MAX(0,Setup!$C$5-MAX((Setup!$C$5-Setup!$C$7),Setup!$C$4))),MAX((Setup!$C$5-Setup!$C$7),Setup!$C$4)+($K40-($F40*MAX(0,(Setup!$C$5-Setup!$C$7)-Setup!$C$4)))/($F40*Setup!$C$8),IF(AND($W40&gt;0,$K40&lt;($F40*MAX(0,(Setup!$C$5-Setup!$C$7)-Setup!$C$4))+($F40*Setup!$C$8*MAX(0,Setup!$C$5-MAX((Setup!$C$5-Setup!$C$7),Setup!$C$4)))+($W40/4*MAX(0,Setup!$C$5+4-MAX(Setup!$C$5,Setup!$C$4)))),MAX(Setup!$C$5,Setup!$C$4)+($K40-($F40*MAX(0,(Setup!$C$5-Setup!$C$7)-Setup!$C$4))-($F40*Setup!$C$8*MAX(0,Setup!$C$5-MAX((Setup!$C$5-Setup!$C$7),Setup!$C$4))))/($W40/4),MAX(Setup!$C$5+4,Setup!$C$4)+($K40-($F40*MAX(0,(Setup!$C$5-Setup!$C$7)-Setup!$C$4))-($F40*Setup!$C$8*MAX(0,Setup!$C$5-MAX((Setup!$C$5-Setup!$C$7),Setup!$C$4)))-($W40/4*MAX(0,Setup!$C$5+4-MAX(Setup!$C$5,Setup!$C$4))))/($F40*Setup!$C$14)))))))</f>
        <v/>
      </c>
      <c r="AI40" s="79" t="str">
        <f>IF($R40&lt;&gt;"OK","",IF(AND($L40&lt;&gt;"",$L40&gt;0,ISNUMBER($AH40),$M40&gt;$AH40),"Runs out before the incoming delivery arrives",IF($AB40=0,"OK",IF($K40+IF(AND($L40&lt;&gt;"",$L40&gt;0),IF($M40&lt;=$AG40,$L40,0),0)&lt;($F40*MAX(0,MIN($AG40,(Setup!$C$5-Setup!$C$7))-Setup!$C$4)+$F40*Setup!$C$8*MAX(0,MIN($AG40,Setup!$C$5)-MAX((Setup!$C$5-Setup!$C$7),Setup!$C$4))+$W40/4*MAX(0,MIN($AG40,Setup!$C$5+4)-MAX(Setup!$C$5,Setup!$C$4))+$F40*Setup!$C$14*MAX(0,$AG40-MAX(Setup!$C$5+4,Setup!$C$4))),"Runs out before this order can land","OK"))))</f>
        <v/>
      </c>
      <c r="AJ40" s="78" t="str">
        <f>IF($R40&lt;&gt;"OK","",IF($AB40=0,0,IF($AL40="Too slow: send it all fast",$AB40,$AR40)))</f>
        <v/>
      </c>
      <c r="AK40" s="78" t="str">
        <f>IF($R40&lt;&gt;"OK","",$AB40-$AJ40)</f>
        <v/>
      </c>
      <c r="AL40" s="78" t="str">
        <f>IF($R40&lt;&gt;"OK","",IF($AB40=0,"",IF($AB40-$AR40=0,"Nothing left over",IF($O40="Domestic",IF($AG40&lt;=Setup!$C$6+Setup!$C$20+1,"Later units can go by Domestic","Too slow: send it all fast"),IF($AS40+$N40+Setup!$C$25+Setup!$C$11&lt;=Setup!$C$6+Setup!$C$20+1,"Later units can go by Ocean long",IF($AS40+$N40+Setup!$C$26+Setup!$C$11&lt;=Setup!$C$6+Setup!$C$20+1,"Later units can go by Ocean short",IF($AS40+$N40+Setup!$C$27+Setup!$C$11&lt;=Setup!$C$6+Setup!$C$20+1,"Later units can go by Air",IF($AS40+$N40+Setup!$C$28+Setup!$C$11&lt;=Setup!$C$6+Setup!$C$20+1,"Later units can go by Express","Too slow: send it all fast"))))))))</f>
        <v/>
      </c>
      <c r="AM40" s="94" t="str">
        <f>IF($R40&lt;&gt;"OK","",$E40-$D40)</f>
        <v/>
      </c>
      <c r="AN40" s="95" t="str">
        <f>IF($R40&lt;&gt;"OK","",($E40-$D40)/$D40)</f>
        <v/>
      </c>
      <c r="AO40" s="95" t="str">
        <f>IF($R40&lt;&gt;"OK","",IF($AB40&gt;0,$AN40+IF($C40="Evergreen",1000,0),""))</f>
        <v/>
      </c>
      <c r="AP40" s="78" t="str">
        <f>IF(OR($R40&lt;&gt;"OK",$AO40=""),"",COUNTIF($AO$6:$AO$205,"&gt;"&amp;$AO40)+COUNTIF($AO$6:$AO40,$AO40))</f>
        <v/>
      </c>
      <c r="AQ40" s="78" t="str">
        <f>IF(OR($R40&lt;&gt;"OK",$AP40=""),"",INDEX('Buy list'!$G$5:$G$204,$AP40))</f>
        <v/>
      </c>
      <c r="AR40" s="78" t="str">
        <f>IF($R40&lt;&gt;"OK","",IF($AB40=0,0,MIN($AB40,CEILING(MAX(0,($F40*MAX(0,MIN((Setup!$C$6+1+Setup!$C$20),(Setup!$C$5-Setup!$C$7))-Setup!$C$4)+$F40*Setup!$C$8*MAX(0,MIN((Setup!$C$6+1+Setup!$C$20),Setup!$C$5)-MAX((Setup!$C$5-Setup!$C$7),Setup!$C$4))+$W40/4*MAX(0,MIN((Setup!$C$6+1+Setup!$C$20),Setup!$C$5+4)-MAX(Setup!$C$5,Setup!$C$4))+$F40*Setup!$C$14*MAX(0,(Setup!$C$6+1+Setup!$C$20)-MAX(Setup!$C$5+4,Setup!$C$4)))+$Y40-$K40-IF(AND($L40&lt;&gt;"",$L40&gt;0),IF($M40&lt;=Setup!$C$10,$L40,0),0)),IF(OR($P40="",$P40&lt;=0),1,$P40)))))</f>
        <v/>
      </c>
      <c r="AS40" s="96" t="str">
        <f>IF($R40&lt;&gt;"OK","",IF(AND($O40&lt;&gt;"Domestic",ISNUMBER(Setup!$C$22),Setup!$C$22&gt;Setup!$C$4),Setup!$C$22,Setup!$C$4))</f>
        <v/>
      </c>
      <c r="AT40" s="96" t="str">
        <f>IF($R40&lt;&gt;"OK","",IF($AB40=0,"",IF($O40="Domestic",$AG40,$AS40+$N40+Setup!$C$27+Setup!$C$11)))</f>
        <v/>
      </c>
    </row>
    <row r="41" ht="15" customHeight="1" s="46">
      <c r="A41" s="70" t="n"/>
      <c r="B41" s="70" t="n"/>
      <c r="C41" s="70" t="n"/>
      <c r="D41" s="85" t="n"/>
      <c r="E41" s="85" t="n"/>
      <c r="F41" s="86" t="n"/>
      <c r="G41" s="87" t="n"/>
      <c r="H41" s="88" t="n"/>
      <c r="I41" s="89" t="n"/>
      <c r="J41" s="90" t="n"/>
      <c r="K41" s="87" t="n"/>
      <c r="L41" s="87" t="n"/>
      <c r="M41" s="91" t="n"/>
      <c r="N41" s="92" t="n"/>
      <c r="O41" s="70" t="n"/>
      <c r="P41" s="92" t="n"/>
      <c r="Q41" s="87" t="n"/>
      <c r="R41" s="79" t="str">
        <f>IF($A41="","",IF($C41="","Missing: type",IF(OR($D41="",$D41&lt;=0),"Missing: unit cost",IF($E41="","Missing: unit price",IF($F41="","Missing: daily sales",IF($K41="","Missing: on hand",IF($N41="","Missing: production days",IF($O41="","Missing: freight mode",IF(ISNA(MATCH($O41,Setup!$B$25:$B$29,0)),"Unknown freight mode",IF(AND($L41&lt;&gt;"",$L41&gt;0,$M41=""),"Missing: on-order arrival date","OK"))))))))))</f>
        <v/>
      </c>
      <c r="S41" s="78" t="str">
        <f>IF($R41&lt;&gt;"OK","",IF($G41="","",ROUND($G41/IF(OR($H41="",$H41&lt;=0),4,$H41)*4,0)))</f>
        <v/>
      </c>
      <c r="T41" s="78" t="str">
        <f>IF($R41&lt;&gt;"OK","",ROUND(IF($G41="",$F41*4*Setup!$C$19,$G41/IF(OR($H41="",$H41&lt;=0),4,$H41)*4*(1+IF($I41="",Setup!$C$16,$I41)))*IF($J41="",1,$J41),0))</f>
        <v/>
      </c>
      <c r="U41" s="78" t="str">
        <f>IF($R41&lt;&gt;"OK","",ROUND($T41*Setup!$C$17,0))</f>
        <v/>
      </c>
      <c r="V41" s="78" t="str">
        <f>IF($R41&lt;&gt;"OK","",ROUND($T41*Setup!$C$18,0))</f>
        <v/>
      </c>
      <c r="W41" s="78" t="str">
        <f>IF($R41&lt;&gt;"OK","",IF($C41="Evergreen",$V41,IF($C41="Seasonal or new",$U41,$T41)))</f>
        <v/>
      </c>
      <c r="X41" s="78" t="str">
        <f>IF($R41&lt;&gt;"OK","",ROUND(($F41*MAX(0,MIN(Setup!$C$13+1,(Setup!$C$5-Setup!$C$7))-Setup!$C$4)+$F41*Setup!$C$8*MAX(0,MIN(Setup!$C$13+1,Setup!$C$5)-MAX((Setup!$C$5-Setup!$C$7),Setup!$C$4))+$W41/4*MAX(0,MIN(Setup!$C$13+1,Setup!$C$5+4)-MAX(Setup!$C$5,Setup!$C$4))+$F41*Setup!$C$14*MAX(0,Setup!$C$13+1-MAX(Setup!$C$5+4,Setup!$C$4))),0))</f>
        <v/>
      </c>
      <c r="Y41" s="78" t="str">
        <f>IF($R41&lt;&gt;"OK","",ROUND($F41*Setup!$C$15,0))</f>
        <v/>
      </c>
      <c r="Z41" s="78" t="str">
        <f>IF($R41&lt;&gt;"OK","",IF(AND($L41&lt;&gt;"",$L41&gt;0),IF($M41&lt;=Setup!$C$13,$L41,0),0))</f>
        <v/>
      </c>
      <c r="AA41" s="78" t="str">
        <f>IF($R41&lt;&gt;"OK","",MAX(0,$X41+$Y41-$K41-$Z41))</f>
        <v/>
      </c>
      <c r="AB41" s="78" t="str">
        <f>IF($R41&lt;&gt;"OK","",IF($AA41=0,0,CEILING(MAX($AA41,IF($Q41="",0,$Q41)),IF(OR($P41="",$P41&lt;=0),1,$P41))))</f>
        <v/>
      </c>
      <c r="AC41" s="78" t="str">
        <f>IF($R41&lt;&gt;"OK","",$AB41*$D41)</f>
        <v/>
      </c>
      <c r="AD41" s="93" t="str">
        <f>IF($R41&lt;&gt;"OK","",INDEX(Setup!$D$25:$D$29,MATCH($O41,Setup!$B$25:$B$29,0)))</f>
        <v/>
      </c>
      <c r="AE41" s="93" t="str">
        <f>IF($R41&lt;&gt;"OK","",$AD41-$N41)</f>
        <v/>
      </c>
      <c r="AF41" s="79" t="str">
        <f>IF($R41&lt;&gt;"OK","",IF($AB41=0,"No order needed",IF($AE41&gt;=$AS41,"Order by the deadline",IF(AND($O41&lt;&gt;"Domestic",Setup!$D$27-$N41&gt;=$AS41),"Late by this mode: fly it",IF(Setup!$D$28-$N41&gt;=$AS41,"Late: Express courier only",IF($AG41&lt;Setup!$C$5,"Tight: lands before Black Friday",IF(AND($O41&lt;&gt;"Domestic",$AT41&lt;Setup!$C$5),"Tight: by Air lands before Black Friday",IF($AS41+$N41+Setup!$C$28+Setup!$C$11&lt;Setup!$C$5,"Tight: by Express lands before Black Friday","Too late: ration"))))))))</f>
        <v/>
      </c>
      <c r="AG41" s="93" t="str">
        <f>IF($R41&lt;&gt;"OK","",IF($AB41=0,"",$AS41+$N41+INDEX(Setup!$C$25:$C$29,MATCH($O41,Setup!$B$25:$B$29,0))+Setup!$C$11))</f>
        <v/>
      </c>
      <c r="AH41" s="93" t="str">
        <f>IF($R41&lt;&gt;"OK","",IF($F41&lt;=0,"",INT(IF($K41&lt;($F41*MAX(0,(Setup!$C$5-Setup!$C$7)-Setup!$C$4)),Setup!$C$4+$K41/$F41,IF($K41&lt;($F41*MAX(0,(Setup!$C$5-Setup!$C$7)-Setup!$C$4))+($F41*Setup!$C$8*MAX(0,Setup!$C$5-MAX((Setup!$C$5-Setup!$C$7),Setup!$C$4))),MAX((Setup!$C$5-Setup!$C$7),Setup!$C$4)+($K41-($F41*MAX(0,(Setup!$C$5-Setup!$C$7)-Setup!$C$4)))/($F41*Setup!$C$8),IF(AND($W41&gt;0,$K41&lt;($F41*MAX(0,(Setup!$C$5-Setup!$C$7)-Setup!$C$4))+($F41*Setup!$C$8*MAX(0,Setup!$C$5-MAX((Setup!$C$5-Setup!$C$7),Setup!$C$4)))+($W41/4*MAX(0,Setup!$C$5+4-MAX(Setup!$C$5,Setup!$C$4)))),MAX(Setup!$C$5,Setup!$C$4)+($K41-($F41*MAX(0,(Setup!$C$5-Setup!$C$7)-Setup!$C$4))-($F41*Setup!$C$8*MAX(0,Setup!$C$5-MAX((Setup!$C$5-Setup!$C$7),Setup!$C$4))))/($W41/4),MAX(Setup!$C$5+4,Setup!$C$4)+($K41-($F41*MAX(0,(Setup!$C$5-Setup!$C$7)-Setup!$C$4))-($F41*Setup!$C$8*MAX(0,Setup!$C$5-MAX((Setup!$C$5-Setup!$C$7),Setup!$C$4)))-($W41/4*MAX(0,Setup!$C$5+4-MAX(Setup!$C$5,Setup!$C$4))))/($F41*Setup!$C$14)))))))</f>
        <v/>
      </c>
      <c r="AI41" s="79" t="str">
        <f>IF($R41&lt;&gt;"OK","",IF(AND($L41&lt;&gt;"",$L41&gt;0,ISNUMBER($AH41),$M41&gt;$AH41),"Runs out before the incoming delivery arrives",IF($AB41=0,"OK",IF($K41+IF(AND($L41&lt;&gt;"",$L41&gt;0),IF($M41&lt;=$AG41,$L41,0),0)&lt;($F41*MAX(0,MIN($AG41,(Setup!$C$5-Setup!$C$7))-Setup!$C$4)+$F41*Setup!$C$8*MAX(0,MIN($AG41,Setup!$C$5)-MAX((Setup!$C$5-Setup!$C$7),Setup!$C$4))+$W41/4*MAX(0,MIN($AG41,Setup!$C$5+4)-MAX(Setup!$C$5,Setup!$C$4))+$F41*Setup!$C$14*MAX(0,$AG41-MAX(Setup!$C$5+4,Setup!$C$4))),"Runs out before this order can land","OK"))))</f>
        <v/>
      </c>
      <c r="AJ41" s="78" t="str">
        <f>IF($R41&lt;&gt;"OK","",IF($AB41=0,0,IF($AL41="Too slow: send it all fast",$AB41,$AR41)))</f>
        <v/>
      </c>
      <c r="AK41" s="78" t="str">
        <f>IF($R41&lt;&gt;"OK","",$AB41-$AJ41)</f>
        <v/>
      </c>
      <c r="AL41" s="78" t="str">
        <f>IF($R41&lt;&gt;"OK","",IF($AB41=0,"",IF($AB41-$AR41=0,"Nothing left over",IF($O41="Domestic",IF($AG41&lt;=Setup!$C$6+Setup!$C$20+1,"Later units can go by Domestic","Too slow: send it all fast"),IF($AS41+$N41+Setup!$C$25+Setup!$C$11&lt;=Setup!$C$6+Setup!$C$20+1,"Later units can go by Ocean long",IF($AS41+$N41+Setup!$C$26+Setup!$C$11&lt;=Setup!$C$6+Setup!$C$20+1,"Later units can go by Ocean short",IF($AS41+$N41+Setup!$C$27+Setup!$C$11&lt;=Setup!$C$6+Setup!$C$20+1,"Later units can go by Air",IF($AS41+$N41+Setup!$C$28+Setup!$C$11&lt;=Setup!$C$6+Setup!$C$20+1,"Later units can go by Express","Too slow: send it all fast"))))))))</f>
        <v/>
      </c>
      <c r="AM41" s="94" t="str">
        <f>IF($R41&lt;&gt;"OK","",$E41-$D41)</f>
        <v/>
      </c>
      <c r="AN41" s="95" t="str">
        <f>IF($R41&lt;&gt;"OK","",($E41-$D41)/$D41)</f>
        <v/>
      </c>
      <c r="AO41" s="95" t="str">
        <f>IF($R41&lt;&gt;"OK","",IF($AB41&gt;0,$AN41+IF($C41="Evergreen",1000,0),""))</f>
        <v/>
      </c>
      <c r="AP41" s="78" t="str">
        <f>IF(OR($R41&lt;&gt;"OK",$AO41=""),"",COUNTIF($AO$6:$AO$205,"&gt;"&amp;$AO41)+COUNTIF($AO$6:$AO41,$AO41))</f>
        <v/>
      </c>
      <c r="AQ41" s="78" t="str">
        <f>IF(OR($R41&lt;&gt;"OK",$AP41=""),"",INDEX('Buy list'!$G$5:$G$204,$AP41))</f>
        <v/>
      </c>
      <c r="AR41" s="78" t="str">
        <f>IF($R41&lt;&gt;"OK","",IF($AB41=0,0,MIN($AB41,CEILING(MAX(0,($F41*MAX(0,MIN((Setup!$C$6+1+Setup!$C$20),(Setup!$C$5-Setup!$C$7))-Setup!$C$4)+$F41*Setup!$C$8*MAX(0,MIN((Setup!$C$6+1+Setup!$C$20),Setup!$C$5)-MAX((Setup!$C$5-Setup!$C$7),Setup!$C$4))+$W41/4*MAX(0,MIN((Setup!$C$6+1+Setup!$C$20),Setup!$C$5+4)-MAX(Setup!$C$5,Setup!$C$4))+$F41*Setup!$C$14*MAX(0,(Setup!$C$6+1+Setup!$C$20)-MAX(Setup!$C$5+4,Setup!$C$4)))+$Y41-$K41-IF(AND($L41&lt;&gt;"",$L41&gt;0),IF($M41&lt;=Setup!$C$10,$L41,0),0)),IF(OR($P41="",$P41&lt;=0),1,$P41)))))</f>
        <v/>
      </c>
      <c r="AS41" s="96" t="str">
        <f>IF($R41&lt;&gt;"OK","",IF(AND($O41&lt;&gt;"Domestic",ISNUMBER(Setup!$C$22),Setup!$C$22&gt;Setup!$C$4),Setup!$C$22,Setup!$C$4))</f>
        <v/>
      </c>
      <c r="AT41" s="96" t="str">
        <f>IF($R41&lt;&gt;"OK","",IF($AB41=0,"",IF($O41="Domestic",$AG41,$AS41+$N41+Setup!$C$27+Setup!$C$11)))</f>
        <v/>
      </c>
    </row>
    <row r="42" ht="15" customHeight="1" s="46">
      <c r="A42" s="70" t="n"/>
      <c r="B42" s="70" t="n"/>
      <c r="C42" s="70" t="n"/>
      <c r="D42" s="85" t="n"/>
      <c r="E42" s="85" t="n"/>
      <c r="F42" s="86" t="n"/>
      <c r="G42" s="87" t="n"/>
      <c r="H42" s="88" t="n"/>
      <c r="I42" s="89" t="n"/>
      <c r="J42" s="90" t="n"/>
      <c r="K42" s="87" t="n"/>
      <c r="L42" s="87" t="n"/>
      <c r="M42" s="91" t="n"/>
      <c r="N42" s="92" t="n"/>
      <c r="O42" s="70" t="n"/>
      <c r="P42" s="92" t="n"/>
      <c r="Q42" s="87" t="n"/>
      <c r="R42" s="79" t="str">
        <f>IF($A42="","",IF($C42="","Missing: type",IF(OR($D42="",$D42&lt;=0),"Missing: unit cost",IF($E42="","Missing: unit price",IF($F42="","Missing: daily sales",IF($K42="","Missing: on hand",IF($N42="","Missing: production days",IF($O42="","Missing: freight mode",IF(ISNA(MATCH($O42,Setup!$B$25:$B$29,0)),"Unknown freight mode",IF(AND($L42&lt;&gt;"",$L42&gt;0,$M42=""),"Missing: on-order arrival date","OK"))))))))))</f>
        <v/>
      </c>
      <c r="S42" s="78" t="str">
        <f>IF($R42&lt;&gt;"OK","",IF($G42="","",ROUND($G42/IF(OR($H42="",$H42&lt;=0),4,$H42)*4,0)))</f>
        <v/>
      </c>
      <c r="T42" s="78" t="str">
        <f>IF($R42&lt;&gt;"OK","",ROUND(IF($G42="",$F42*4*Setup!$C$19,$G42/IF(OR($H42="",$H42&lt;=0),4,$H42)*4*(1+IF($I42="",Setup!$C$16,$I42)))*IF($J42="",1,$J42),0))</f>
        <v/>
      </c>
      <c r="U42" s="78" t="str">
        <f>IF($R42&lt;&gt;"OK","",ROUND($T42*Setup!$C$17,0))</f>
        <v/>
      </c>
      <c r="V42" s="78" t="str">
        <f>IF($R42&lt;&gt;"OK","",ROUND($T42*Setup!$C$18,0))</f>
        <v/>
      </c>
      <c r="W42" s="78" t="str">
        <f>IF($R42&lt;&gt;"OK","",IF($C42="Evergreen",$V42,IF($C42="Seasonal or new",$U42,$T42)))</f>
        <v/>
      </c>
      <c r="X42" s="78" t="str">
        <f>IF($R42&lt;&gt;"OK","",ROUND(($F42*MAX(0,MIN(Setup!$C$13+1,(Setup!$C$5-Setup!$C$7))-Setup!$C$4)+$F42*Setup!$C$8*MAX(0,MIN(Setup!$C$13+1,Setup!$C$5)-MAX((Setup!$C$5-Setup!$C$7),Setup!$C$4))+$W42/4*MAX(0,MIN(Setup!$C$13+1,Setup!$C$5+4)-MAX(Setup!$C$5,Setup!$C$4))+$F42*Setup!$C$14*MAX(0,Setup!$C$13+1-MAX(Setup!$C$5+4,Setup!$C$4))),0))</f>
        <v/>
      </c>
      <c r="Y42" s="78" t="str">
        <f>IF($R42&lt;&gt;"OK","",ROUND($F42*Setup!$C$15,0))</f>
        <v/>
      </c>
      <c r="Z42" s="78" t="str">
        <f>IF($R42&lt;&gt;"OK","",IF(AND($L42&lt;&gt;"",$L42&gt;0),IF($M42&lt;=Setup!$C$13,$L42,0),0))</f>
        <v/>
      </c>
      <c r="AA42" s="78" t="str">
        <f>IF($R42&lt;&gt;"OK","",MAX(0,$X42+$Y42-$K42-$Z42))</f>
        <v/>
      </c>
      <c r="AB42" s="78" t="str">
        <f>IF($R42&lt;&gt;"OK","",IF($AA42=0,0,CEILING(MAX($AA42,IF($Q42="",0,$Q42)),IF(OR($P42="",$P42&lt;=0),1,$P42))))</f>
        <v/>
      </c>
      <c r="AC42" s="78" t="str">
        <f>IF($R42&lt;&gt;"OK","",$AB42*$D42)</f>
        <v/>
      </c>
      <c r="AD42" s="93" t="str">
        <f>IF($R42&lt;&gt;"OK","",INDEX(Setup!$D$25:$D$29,MATCH($O42,Setup!$B$25:$B$29,0)))</f>
        <v/>
      </c>
      <c r="AE42" s="93" t="str">
        <f>IF($R42&lt;&gt;"OK","",$AD42-$N42)</f>
        <v/>
      </c>
      <c r="AF42" s="79" t="str">
        <f>IF($R42&lt;&gt;"OK","",IF($AB42=0,"No order needed",IF($AE42&gt;=$AS42,"Order by the deadline",IF(AND($O42&lt;&gt;"Domestic",Setup!$D$27-$N42&gt;=$AS42),"Late by this mode: fly it",IF(Setup!$D$28-$N42&gt;=$AS42,"Late: Express courier only",IF($AG42&lt;Setup!$C$5,"Tight: lands before Black Friday",IF(AND($O42&lt;&gt;"Domestic",$AT42&lt;Setup!$C$5),"Tight: by Air lands before Black Friday",IF($AS42+$N42+Setup!$C$28+Setup!$C$11&lt;Setup!$C$5,"Tight: by Express lands before Black Friday","Too late: ration"))))))))</f>
        <v/>
      </c>
      <c r="AG42" s="93" t="str">
        <f>IF($R42&lt;&gt;"OK","",IF($AB42=0,"",$AS42+$N42+INDEX(Setup!$C$25:$C$29,MATCH($O42,Setup!$B$25:$B$29,0))+Setup!$C$11))</f>
        <v/>
      </c>
      <c r="AH42" s="93" t="str">
        <f>IF($R42&lt;&gt;"OK","",IF($F42&lt;=0,"",INT(IF($K42&lt;($F42*MAX(0,(Setup!$C$5-Setup!$C$7)-Setup!$C$4)),Setup!$C$4+$K42/$F42,IF($K42&lt;($F42*MAX(0,(Setup!$C$5-Setup!$C$7)-Setup!$C$4))+($F42*Setup!$C$8*MAX(0,Setup!$C$5-MAX((Setup!$C$5-Setup!$C$7),Setup!$C$4))),MAX((Setup!$C$5-Setup!$C$7),Setup!$C$4)+($K42-($F42*MAX(0,(Setup!$C$5-Setup!$C$7)-Setup!$C$4)))/($F42*Setup!$C$8),IF(AND($W42&gt;0,$K42&lt;($F42*MAX(0,(Setup!$C$5-Setup!$C$7)-Setup!$C$4))+($F42*Setup!$C$8*MAX(0,Setup!$C$5-MAX((Setup!$C$5-Setup!$C$7),Setup!$C$4)))+($W42/4*MAX(0,Setup!$C$5+4-MAX(Setup!$C$5,Setup!$C$4)))),MAX(Setup!$C$5,Setup!$C$4)+($K42-($F42*MAX(0,(Setup!$C$5-Setup!$C$7)-Setup!$C$4))-($F42*Setup!$C$8*MAX(0,Setup!$C$5-MAX((Setup!$C$5-Setup!$C$7),Setup!$C$4))))/($W42/4),MAX(Setup!$C$5+4,Setup!$C$4)+($K42-($F42*MAX(0,(Setup!$C$5-Setup!$C$7)-Setup!$C$4))-($F42*Setup!$C$8*MAX(0,Setup!$C$5-MAX((Setup!$C$5-Setup!$C$7),Setup!$C$4)))-($W42/4*MAX(0,Setup!$C$5+4-MAX(Setup!$C$5,Setup!$C$4))))/($F42*Setup!$C$14)))))))</f>
        <v/>
      </c>
      <c r="AI42" s="79" t="str">
        <f>IF($R42&lt;&gt;"OK","",IF(AND($L42&lt;&gt;"",$L42&gt;0,ISNUMBER($AH42),$M42&gt;$AH42),"Runs out before the incoming delivery arrives",IF($AB42=0,"OK",IF($K42+IF(AND($L42&lt;&gt;"",$L42&gt;0),IF($M42&lt;=$AG42,$L42,0),0)&lt;($F42*MAX(0,MIN($AG42,(Setup!$C$5-Setup!$C$7))-Setup!$C$4)+$F42*Setup!$C$8*MAX(0,MIN($AG42,Setup!$C$5)-MAX((Setup!$C$5-Setup!$C$7),Setup!$C$4))+$W42/4*MAX(0,MIN($AG42,Setup!$C$5+4)-MAX(Setup!$C$5,Setup!$C$4))+$F42*Setup!$C$14*MAX(0,$AG42-MAX(Setup!$C$5+4,Setup!$C$4))),"Runs out before this order can land","OK"))))</f>
        <v/>
      </c>
      <c r="AJ42" s="78" t="str">
        <f>IF($R42&lt;&gt;"OK","",IF($AB42=0,0,IF($AL42="Too slow: send it all fast",$AB42,$AR42)))</f>
        <v/>
      </c>
      <c r="AK42" s="78" t="str">
        <f>IF($R42&lt;&gt;"OK","",$AB42-$AJ42)</f>
        <v/>
      </c>
      <c r="AL42" s="78" t="str">
        <f>IF($R42&lt;&gt;"OK","",IF($AB42=0,"",IF($AB42-$AR42=0,"Nothing left over",IF($O42="Domestic",IF($AG42&lt;=Setup!$C$6+Setup!$C$20+1,"Later units can go by Domestic","Too slow: send it all fast"),IF($AS42+$N42+Setup!$C$25+Setup!$C$11&lt;=Setup!$C$6+Setup!$C$20+1,"Later units can go by Ocean long",IF($AS42+$N42+Setup!$C$26+Setup!$C$11&lt;=Setup!$C$6+Setup!$C$20+1,"Later units can go by Ocean short",IF($AS42+$N42+Setup!$C$27+Setup!$C$11&lt;=Setup!$C$6+Setup!$C$20+1,"Later units can go by Air",IF($AS42+$N42+Setup!$C$28+Setup!$C$11&lt;=Setup!$C$6+Setup!$C$20+1,"Later units can go by Express","Too slow: send it all fast"))))))))</f>
        <v/>
      </c>
      <c r="AM42" s="94" t="str">
        <f>IF($R42&lt;&gt;"OK","",$E42-$D42)</f>
        <v/>
      </c>
      <c r="AN42" s="95" t="str">
        <f>IF($R42&lt;&gt;"OK","",($E42-$D42)/$D42)</f>
        <v/>
      </c>
      <c r="AO42" s="95" t="str">
        <f>IF($R42&lt;&gt;"OK","",IF($AB42&gt;0,$AN42+IF($C42="Evergreen",1000,0),""))</f>
        <v/>
      </c>
      <c r="AP42" s="78" t="str">
        <f>IF(OR($R42&lt;&gt;"OK",$AO42=""),"",COUNTIF($AO$6:$AO$205,"&gt;"&amp;$AO42)+COUNTIF($AO$6:$AO42,$AO42))</f>
        <v/>
      </c>
      <c r="AQ42" s="78" t="str">
        <f>IF(OR($R42&lt;&gt;"OK",$AP42=""),"",INDEX('Buy list'!$G$5:$G$204,$AP42))</f>
        <v/>
      </c>
      <c r="AR42" s="78" t="str">
        <f>IF($R42&lt;&gt;"OK","",IF($AB42=0,0,MIN($AB42,CEILING(MAX(0,($F42*MAX(0,MIN((Setup!$C$6+1+Setup!$C$20),(Setup!$C$5-Setup!$C$7))-Setup!$C$4)+$F42*Setup!$C$8*MAX(0,MIN((Setup!$C$6+1+Setup!$C$20),Setup!$C$5)-MAX((Setup!$C$5-Setup!$C$7),Setup!$C$4))+$W42/4*MAX(0,MIN((Setup!$C$6+1+Setup!$C$20),Setup!$C$5+4)-MAX(Setup!$C$5,Setup!$C$4))+$F42*Setup!$C$14*MAX(0,(Setup!$C$6+1+Setup!$C$20)-MAX(Setup!$C$5+4,Setup!$C$4)))+$Y42-$K42-IF(AND($L42&lt;&gt;"",$L42&gt;0),IF($M42&lt;=Setup!$C$10,$L42,0),0)),IF(OR($P42="",$P42&lt;=0),1,$P42)))))</f>
        <v/>
      </c>
      <c r="AS42" s="96" t="str">
        <f>IF($R42&lt;&gt;"OK","",IF(AND($O42&lt;&gt;"Domestic",ISNUMBER(Setup!$C$22),Setup!$C$22&gt;Setup!$C$4),Setup!$C$22,Setup!$C$4))</f>
        <v/>
      </c>
      <c r="AT42" s="96" t="str">
        <f>IF($R42&lt;&gt;"OK","",IF($AB42=0,"",IF($O42="Domestic",$AG42,$AS42+$N42+Setup!$C$27+Setup!$C$11)))</f>
        <v/>
      </c>
    </row>
    <row r="43" ht="15" customHeight="1" s="46">
      <c r="A43" s="70" t="n"/>
      <c r="B43" s="70" t="n"/>
      <c r="C43" s="70" t="n"/>
      <c r="D43" s="85" t="n"/>
      <c r="E43" s="85" t="n"/>
      <c r="F43" s="86" t="n"/>
      <c r="G43" s="87" t="n"/>
      <c r="H43" s="88" t="n"/>
      <c r="I43" s="89" t="n"/>
      <c r="J43" s="90" t="n"/>
      <c r="K43" s="87" t="n"/>
      <c r="L43" s="87" t="n"/>
      <c r="M43" s="91" t="n"/>
      <c r="N43" s="92" t="n"/>
      <c r="O43" s="70" t="n"/>
      <c r="P43" s="92" t="n"/>
      <c r="Q43" s="87" t="n"/>
      <c r="R43" s="79" t="str">
        <f>IF($A43="","",IF($C43="","Missing: type",IF(OR($D43="",$D43&lt;=0),"Missing: unit cost",IF($E43="","Missing: unit price",IF($F43="","Missing: daily sales",IF($K43="","Missing: on hand",IF($N43="","Missing: production days",IF($O43="","Missing: freight mode",IF(ISNA(MATCH($O43,Setup!$B$25:$B$29,0)),"Unknown freight mode",IF(AND($L43&lt;&gt;"",$L43&gt;0,$M43=""),"Missing: on-order arrival date","OK"))))))))))</f>
        <v/>
      </c>
      <c r="S43" s="78" t="str">
        <f>IF($R43&lt;&gt;"OK","",IF($G43="","",ROUND($G43/IF(OR($H43="",$H43&lt;=0),4,$H43)*4,0)))</f>
        <v/>
      </c>
      <c r="T43" s="78" t="str">
        <f>IF($R43&lt;&gt;"OK","",ROUND(IF($G43="",$F43*4*Setup!$C$19,$G43/IF(OR($H43="",$H43&lt;=0),4,$H43)*4*(1+IF($I43="",Setup!$C$16,$I43)))*IF($J43="",1,$J43),0))</f>
        <v/>
      </c>
      <c r="U43" s="78" t="str">
        <f>IF($R43&lt;&gt;"OK","",ROUND($T43*Setup!$C$17,0))</f>
        <v/>
      </c>
      <c r="V43" s="78" t="str">
        <f>IF($R43&lt;&gt;"OK","",ROUND($T43*Setup!$C$18,0))</f>
        <v/>
      </c>
      <c r="W43" s="78" t="str">
        <f>IF($R43&lt;&gt;"OK","",IF($C43="Evergreen",$V43,IF($C43="Seasonal or new",$U43,$T43)))</f>
        <v/>
      </c>
      <c r="X43" s="78" t="str">
        <f>IF($R43&lt;&gt;"OK","",ROUND(($F43*MAX(0,MIN(Setup!$C$13+1,(Setup!$C$5-Setup!$C$7))-Setup!$C$4)+$F43*Setup!$C$8*MAX(0,MIN(Setup!$C$13+1,Setup!$C$5)-MAX((Setup!$C$5-Setup!$C$7),Setup!$C$4))+$W43/4*MAX(0,MIN(Setup!$C$13+1,Setup!$C$5+4)-MAX(Setup!$C$5,Setup!$C$4))+$F43*Setup!$C$14*MAX(0,Setup!$C$13+1-MAX(Setup!$C$5+4,Setup!$C$4))),0))</f>
        <v/>
      </c>
      <c r="Y43" s="78" t="str">
        <f>IF($R43&lt;&gt;"OK","",ROUND($F43*Setup!$C$15,0))</f>
        <v/>
      </c>
      <c r="Z43" s="78" t="str">
        <f>IF($R43&lt;&gt;"OK","",IF(AND($L43&lt;&gt;"",$L43&gt;0),IF($M43&lt;=Setup!$C$13,$L43,0),0))</f>
        <v/>
      </c>
      <c r="AA43" s="78" t="str">
        <f>IF($R43&lt;&gt;"OK","",MAX(0,$X43+$Y43-$K43-$Z43))</f>
        <v/>
      </c>
      <c r="AB43" s="78" t="str">
        <f>IF($R43&lt;&gt;"OK","",IF($AA43=0,0,CEILING(MAX($AA43,IF($Q43="",0,$Q43)),IF(OR($P43="",$P43&lt;=0),1,$P43))))</f>
        <v/>
      </c>
      <c r="AC43" s="78" t="str">
        <f>IF($R43&lt;&gt;"OK","",$AB43*$D43)</f>
        <v/>
      </c>
      <c r="AD43" s="93" t="str">
        <f>IF($R43&lt;&gt;"OK","",INDEX(Setup!$D$25:$D$29,MATCH($O43,Setup!$B$25:$B$29,0)))</f>
        <v/>
      </c>
      <c r="AE43" s="93" t="str">
        <f>IF($R43&lt;&gt;"OK","",$AD43-$N43)</f>
        <v/>
      </c>
      <c r="AF43" s="79" t="str">
        <f>IF($R43&lt;&gt;"OK","",IF($AB43=0,"No order needed",IF($AE43&gt;=$AS43,"Order by the deadline",IF(AND($O43&lt;&gt;"Domestic",Setup!$D$27-$N43&gt;=$AS43),"Late by this mode: fly it",IF(Setup!$D$28-$N43&gt;=$AS43,"Late: Express courier only",IF($AG43&lt;Setup!$C$5,"Tight: lands before Black Friday",IF(AND($O43&lt;&gt;"Domestic",$AT43&lt;Setup!$C$5),"Tight: by Air lands before Black Friday",IF($AS43+$N43+Setup!$C$28+Setup!$C$11&lt;Setup!$C$5,"Tight: by Express lands before Black Friday","Too late: ration"))))))))</f>
        <v/>
      </c>
      <c r="AG43" s="93" t="str">
        <f>IF($R43&lt;&gt;"OK","",IF($AB43=0,"",$AS43+$N43+INDEX(Setup!$C$25:$C$29,MATCH($O43,Setup!$B$25:$B$29,0))+Setup!$C$11))</f>
        <v/>
      </c>
      <c r="AH43" s="93" t="str">
        <f>IF($R43&lt;&gt;"OK","",IF($F43&lt;=0,"",INT(IF($K43&lt;($F43*MAX(0,(Setup!$C$5-Setup!$C$7)-Setup!$C$4)),Setup!$C$4+$K43/$F43,IF($K43&lt;($F43*MAX(0,(Setup!$C$5-Setup!$C$7)-Setup!$C$4))+($F43*Setup!$C$8*MAX(0,Setup!$C$5-MAX((Setup!$C$5-Setup!$C$7),Setup!$C$4))),MAX((Setup!$C$5-Setup!$C$7),Setup!$C$4)+($K43-($F43*MAX(0,(Setup!$C$5-Setup!$C$7)-Setup!$C$4)))/($F43*Setup!$C$8),IF(AND($W43&gt;0,$K43&lt;($F43*MAX(0,(Setup!$C$5-Setup!$C$7)-Setup!$C$4))+($F43*Setup!$C$8*MAX(0,Setup!$C$5-MAX((Setup!$C$5-Setup!$C$7),Setup!$C$4)))+($W43/4*MAX(0,Setup!$C$5+4-MAX(Setup!$C$5,Setup!$C$4)))),MAX(Setup!$C$5,Setup!$C$4)+($K43-($F43*MAX(0,(Setup!$C$5-Setup!$C$7)-Setup!$C$4))-($F43*Setup!$C$8*MAX(0,Setup!$C$5-MAX((Setup!$C$5-Setup!$C$7),Setup!$C$4))))/($W43/4),MAX(Setup!$C$5+4,Setup!$C$4)+($K43-($F43*MAX(0,(Setup!$C$5-Setup!$C$7)-Setup!$C$4))-($F43*Setup!$C$8*MAX(0,Setup!$C$5-MAX((Setup!$C$5-Setup!$C$7),Setup!$C$4)))-($W43/4*MAX(0,Setup!$C$5+4-MAX(Setup!$C$5,Setup!$C$4))))/($F43*Setup!$C$14)))))))</f>
        <v/>
      </c>
      <c r="AI43" s="79" t="str">
        <f>IF($R43&lt;&gt;"OK","",IF(AND($L43&lt;&gt;"",$L43&gt;0,ISNUMBER($AH43),$M43&gt;$AH43),"Runs out before the incoming delivery arrives",IF($AB43=0,"OK",IF($K43+IF(AND($L43&lt;&gt;"",$L43&gt;0),IF($M43&lt;=$AG43,$L43,0),0)&lt;($F43*MAX(0,MIN($AG43,(Setup!$C$5-Setup!$C$7))-Setup!$C$4)+$F43*Setup!$C$8*MAX(0,MIN($AG43,Setup!$C$5)-MAX((Setup!$C$5-Setup!$C$7),Setup!$C$4))+$W43/4*MAX(0,MIN($AG43,Setup!$C$5+4)-MAX(Setup!$C$5,Setup!$C$4))+$F43*Setup!$C$14*MAX(0,$AG43-MAX(Setup!$C$5+4,Setup!$C$4))),"Runs out before this order can land","OK"))))</f>
        <v/>
      </c>
      <c r="AJ43" s="78" t="str">
        <f>IF($R43&lt;&gt;"OK","",IF($AB43=0,0,IF($AL43="Too slow: send it all fast",$AB43,$AR43)))</f>
        <v/>
      </c>
      <c r="AK43" s="78" t="str">
        <f>IF($R43&lt;&gt;"OK","",$AB43-$AJ43)</f>
        <v/>
      </c>
      <c r="AL43" s="78" t="str">
        <f>IF($R43&lt;&gt;"OK","",IF($AB43=0,"",IF($AB43-$AR43=0,"Nothing left over",IF($O43="Domestic",IF($AG43&lt;=Setup!$C$6+Setup!$C$20+1,"Later units can go by Domestic","Too slow: send it all fast"),IF($AS43+$N43+Setup!$C$25+Setup!$C$11&lt;=Setup!$C$6+Setup!$C$20+1,"Later units can go by Ocean long",IF($AS43+$N43+Setup!$C$26+Setup!$C$11&lt;=Setup!$C$6+Setup!$C$20+1,"Later units can go by Ocean short",IF($AS43+$N43+Setup!$C$27+Setup!$C$11&lt;=Setup!$C$6+Setup!$C$20+1,"Later units can go by Air",IF($AS43+$N43+Setup!$C$28+Setup!$C$11&lt;=Setup!$C$6+Setup!$C$20+1,"Later units can go by Express","Too slow: send it all fast"))))))))</f>
        <v/>
      </c>
      <c r="AM43" s="94" t="str">
        <f>IF($R43&lt;&gt;"OK","",$E43-$D43)</f>
        <v/>
      </c>
      <c r="AN43" s="95" t="str">
        <f>IF($R43&lt;&gt;"OK","",($E43-$D43)/$D43)</f>
        <v/>
      </c>
      <c r="AO43" s="95" t="str">
        <f>IF($R43&lt;&gt;"OK","",IF($AB43&gt;0,$AN43+IF($C43="Evergreen",1000,0),""))</f>
        <v/>
      </c>
      <c r="AP43" s="78" t="str">
        <f>IF(OR($R43&lt;&gt;"OK",$AO43=""),"",COUNTIF($AO$6:$AO$205,"&gt;"&amp;$AO43)+COUNTIF($AO$6:$AO43,$AO43))</f>
        <v/>
      </c>
      <c r="AQ43" s="78" t="str">
        <f>IF(OR($R43&lt;&gt;"OK",$AP43=""),"",INDEX('Buy list'!$G$5:$G$204,$AP43))</f>
        <v/>
      </c>
      <c r="AR43" s="78" t="str">
        <f>IF($R43&lt;&gt;"OK","",IF($AB43=0,0,MIN($AB43,CEILING(MAX(0,($F43*MAX(0,MIN((Setup!$C$6+1+Setup!$C$20),(Setup!$C$5-Setup!$C$7))-Setup!$C$4)+$F43*Setup!$C$8*MAX(0,MIN((Setup!$C$6+1+Setup!$C$20),Setup!$C$5)-MAX((Setup!$C$5-Setup!$C$7),Setup!$C$4))+$W43/4*MAX(0,MIN((Setup!$C$6+1+Setup!$C$20),Setup!$C$5+4)-MAX(Setup!$C$5,Setup!$C$4))+$F43*Setup!$C$14*MAX(0,(Setup!$C$6+1+Setup!$C$20)-MAX(Setup!$C$5+4,Setup!$C$4)))+$Y43-$K43-IF(AND($L43&lt;&gt;"",$L43&gt;0),IF($M43&lt;=Setup!$C$10,$L43,0),0)),IF(OR($P43="",$P43&lt;=0),1,$P43)))))</f>
        <v/>
      </c>
      <c r="AS43" s="96" t="str">
        <f>IF($R43&lt;&gt;"OK","",IF(AND($O43&lt;&gt;"Domestic",ISNUMBER(Setup!$C$22),Setup!$C$22&gt;Setup!$C$4),Setup!$C$22,Setup!$C$4))</f>
        <v/>
      </c>
      <c r="AT43" s="96" t="str">
        <f>IF($R43&lt;&gt;"OK","",IF($AB43=0,"",IF($O43="Domestic",$AG43,$AS43+$N43+Setup!$C$27+Setup!$C$11)))</f>
        <v/>
      </c>
    </row>
    <row r="44" ht="15" customHeight="1" s="46">
      <c r="A44" s="70" t="n"/>
      <c r="B44" s="70" t="n"/>
      <c r="C44" s="70" t="n"/>
      <c r="D44" s="85" t="n"/>
      <c r="E44" s="85" t="n"/>
      <c r="F44" s="86" t="n"/>
      <c r="G44" s="87" t="n"/>
      <c r="H44" s="88" t="n"/>
      <c r="I44" s="89" t="n"/>
      <c r="J44" s="90" t="n"/>
      <c r="K44" s="87" t="n"/>
      <c r="L44" s="87" t="n"/>
      <c r="M44" s="91" t="n"/>
      <c r="N44" s="92" t="n"/>
      <c r="O44" s="70" t="n"/>
      <c r="P44" s="92" t="n"/>
      <c r="Q44" s="87" t="n"/>
      <c r="R44" s="79" t="str">
        <f>IF($A44="","",IF($C44="","Missing: type",IF(OR($D44="",$D44&lt;=0),"Missing: unit cost",IF($E44="","Missing: unit price",IF($F44="","Missing: daily sales",IF($K44="","Missing: on hand",IF($N44="","Missing: production days",IF($O44="","Missing: freight mode",IF(ISNA(MATCH($O44,Setup!$B$25:$B$29,0)),"Unknown freight mode",IF(AND($L44&lt;&gt;"",$L44&gt;0,$M44=""),"Missing: on-order arrival date","OK"))))))))))</f>
        <v/>
      </c>
      <c r="S44" s="78" t="str">
        <f>IF($R44&lt;&gt;"OK","",IF($G44="","",ROUND($G44/IF(OR($H44="",$H44&lt;=0),4,$H44)*4,0)))</f>
        <v/>
      </c>
      <c r="T44" s="78" t="str">
        <f>IF($R44&lt;&gt;"OK","",ROUND(IF($G44="",$F44*4*Setup!$C$19,$G44/IF(OR($H44="",$H44&lt;=0),4,$H44)*4*(1+IF($I44="",Setup!$C$16,$I44)))*IF($J44="",1,$J44),0))</f>
        <v/>
      </c>
      <c r="U44" s="78" t="str">
        <f>IF($R44&lt;&gt;"OK","",ROUND($T44*Setup!$C$17,0))</f>
        <v/>
      </c>
      <c r="V44" s="78" t="str">
        <f>IF($R44&lt;&gt;"OK","",ROUND($T44*Setup!$C$18,0))</f>
        <v/>
      </c>
      <c r="W44" s="78" t="str">
        <f>IF($R44&lt;&gt;"OK","",IF($C44="Evergreen",$V44,IF($C44="Seasonal or new",$U44,$T44)))</f>
        <v/>
      </c>
      <c r="X44" s="78" t="str">
        <f>IF($R44&lt;&gt;"OK","",ROUND(($F44*MAX(0,MIN(Setup!$C$13+1,(Setup!$C$5-Setup!$C$7))-Setup!$C$4)+$F44*Setup!$C$8*MAX(0,MIN(Setup!$C$13+1,Setup!$C$5)-MAX((Setup!$C$5-Setup!$C$7),Setup!$C$4))+$W44/4*MAX(0,MIN(Setup!$C$13+1,Setup!$C$5+4)-MAX(Setup!$C$5,Setup!$C$4))+$F44*Setup!$C$14*MAX(0,Setup!$C$13+1-MAX(Setup!$C$5+4,Setup!$C$4))),0))</f>
        <v/>
      </c>
      <c r="Y44" s="78" t="str">
        <f>IF($R44&lt;&gt;"OK","",ROUND($F44*Setup!$C$15,0))</f>
        <v/>
      </c>
      <c r="Z44" s="78" t="str">
        <f>IF($R44&lt;&gt;"OK","",IF(AND($L44&lt;&gt;"",$L44&gt;0),IF($M44&lt;=Setup!$C$13,$L44,0),0))</f>
        <v/>
      </c>
      <c r="AA44" s="78" t="str">
        <f>IF($R44&lt;&gt;"OK","",MAX(0,$X44+$Y44-$K44-$Z44))</f>
        <v/>
      </c>
      <c r="AB44" s="78" t="str">
        <f>IF($R44&lt;&gt;"OK","",IF($AA44=0,0,CEILING(MAX($AA44,IF($Q44="",0,$Q44)),IF(OR($P44="",$P44&lt;=0),1,$P44))))</f>
        <v/>
      </c>
      <c r="AC44" s="78" t="str">
        <f>IF($R44&lt;&gt;"OK","",$AB44*$D44)</f>
        <v/>
      </c>
      <c r="AD44" s="93" t="str">
        <f>IF($R44&lt;&gt;"OK","",INDEX(Setup!$D$25:$D$29,MATCH($O44,Setup!$B$25:$B$29,0)))</f>
        <v/>
      </c>
      <c r="AE44" s="93" t="str">
        <f>IF($R44&lt;&gt;"OK","",$AD44-$N44)</f>
        <v/>
      </c>
      <c r="AF44" s="79" t="str">
        <f>IF($R44&lt;&gt;"OK","",IF($AB44=0,"No order needed",IF($AE44&gt;=$AS44,"Order by the deadline",IF(AND($O44&lt;&gt;"Domestic",Setup!$D$27-$N44&gt;=$AS44),"Late by this mode: fly it",IF(Setup!$D$28-$N44&gt;=$AS44,"Late: Express courier only",IF($AG44&lt;Setup!$C$5,"Tight: lands before Black Friday",IF(AND($O44&lt;&gt;"Domestic",$AT44&lt;Setup!$C$5),"Tight: by Air lands before Black Friday",IF($AS44+$N44+Setup!$C$28+Setup!$C$11&lt;Setup!$C$5,"Tight: by Express lands before Black Friday","Too late: ration"))))))))</f>
        <v/>
      </c>
      <c r="AG44" s="93" t="str">
        <f>IF($R44&lt;&gt;"OK","",IF($AB44=0,"",$AS44+$N44+INDEX(Setup!$C$25:$C$29,MATCH($O44,Setup!$B$25:$B$29,0))+Setup!$C$11))</f>
        <v/>
      </c>
      <c r="AH44" s="93" t="str">
        <f>IF($R44&lt;&gt;"OK","",IF($F44&lt;=0,"",INT(IF($K44&lt;($F44*MAX(0,(Setup!$C$5-Setup!$C$7)-Setup!$C$4)),Setup!$C$4+$K44/$F44,IF($K44&lt;($F44*MAX(0,(Setup!$C$5-Setup!$C$7)-Setup!$C$4))+($F44*Setup!$C$8*MAX(0,Setup!$C$5-MAX((Setup!$C$5-Setup!$C$7),Setup!$C$4))),MAX((Setup!$C$5-Setup!$C$7),Setup!$C$4)+($K44-($F44*MAX(0,(Setup!$C$5-Setup!$C$7)-Setup!$C$4)))/($F44*Setup!$C$8),IF(AND($W44&gt;0,$K44&lt;($F44*MAX(0,(Setup!$C$5-Setup!$C$7)-Setup!$C$4))+($F44*Setup!$C$8*MAX(0,Setup!$C$5-MAX((Setup!$C$5-Setup!$C$7),Setup!$C$4)))+($W44/4*MAX(0,Setup!$C$5+4-MAX(Setup!$C$5,Setup!$C$4)))),MAX(Setup!$C$5,Setup!$C$4)+($K44-($F44*MAX(0,(Setup!$C$5-Setup!$C$7)-Setup!$C$4))-($F44*Setup!$C$8*MAX(0,Setup!$C$5-MAX((Setup!$C$5-Setup!$C$7),Setup!$C$4))))/($W44/4),MAX(Setup!$C$5+4,Setup!$C$4)+($K44-($F44*MAX(0,(Setup!$C$5-Setup!$C$7)-Setup!$C$4))-($F44*Setup!$C$8*MAX(0,Setup!$C$5-MAX((Setup!$C$5-Setup!$C$7),Setup!$C$4)))-($W44/4*MAX(0,Setup!$C$5+4-MAX(Setup!$C$5,Setup!$C$4))))/($F44*Setup!$C$14)))))))</f>
        <v/>
      </c>
      <c r="AI44" s="79" t="str">
        <f>IF($R44&lt;&gt;"OK","",IF(AND($L44&lt;&gt;"",$L44&gt;0,ISNUMBER($AH44),$M44&gt;$AH44),"Runs out before the incoming delivery arrives",IF($AB44=0,"OK",IF($K44+IF(AND($L44&lt;&gt;"",$L44&gt;0),IF($M44&lt;=$AG44,$L44,0),0)&lt;($F44*MAX(0,MIN($AG44,(Setup!$C$5-Setup!$C$7))-Setup!$C$4)+$F44*Setup!$C$8*MAX(0,MIN($AG44,Setup!$C$5)-MAX((Setup!$C$5-Setup!$C$7),Setup!$C$4))+$W44/4*MAX(0,MIN($AG44,Setup!$C$5+4)-MAX(Setup!$C$5,Setup!$C$4))+$F44*Setup!$C$14*MAX(0,$AG44-MAX(Setup!$C$5+4,Setup!$C$4))),"Runs out before this order can land","OK"))))</f>
        <v/>
      </c>
      <c r="AJ44" s="78" t="str">
        <f>IF($R44&lt;&gt;"OK","",IF($AB44=0,0,IF($AL44="Too slow: send it all fast",$AB44,$AR44)))</f>
        <v/>
      </c>
      <c r="AK44" s="78" t="str">
        <f>IF($R44&lt;&gt;"OK","",$AB44-$AJ44)</f>
        <v/>
      </c>
      <c r="AL44" s="78" t="str">
        <f>IF($R44&lt;&gt;"OK","",IF($AB44=0,"",IF($AB44-$AR44=0,"Nothing left over",IF($O44="Domestic",IF($AG44&lt;=Setup!$C$6+Setup!$C$20+1,"Later units can go by Domestic","Too slow: send it all fast"),IF($AS44+$N44+Setup!$C$25+Setup!$C$11&lt;=Setup!$C$6+Setup!$C$20+1,"Later units can go by Ocean long",IF($AS44+$N44+Setup!$C$26+Setup!$C$11&lt;=Setup!$C$6+Setup!$C$20+1,"Later units can go by Ocean short",IF($AS44+$N44+Setup!$C$27+Setup!$C$11&lt;=Setup!$C$6+Setup!$C$20+1,"Later units can go by Air",IF($AS44+$N44+Setup!$C$28+Setup!$C$11&lt;=Setup!$C$6+Setup!$C$20+1,"Later units can go by Express","Too slow: send it all fast"))))))))</f>
        <v/>
      </c>
      <c r="AM44" s="94" t="str">
        <f>IF($R44&lt;&gt;"OK","",$E44-$D44)</f>
        <v/>
      </c>
      <c r="AN44" s="95" t="str">
        <f>IF($R44&lt;&gt;"OK","",($E44-$D44)/$D44)</f>
        <v/>
      </c>
      <c r="AO44" s="95" t="str">
        <f>IF($R44&lt;&gt;"OK","",IF($AB44&gt;0,$AN44+IF($C44="Evergreen",1000,0),""))</f>
        <v/>
      </c>
      <c r="AP44" s="78" t="str">
        <f>IF(OR($R44&lt;&gt;"OK",$AO44=""),"",COUNTIF($AO$6:$AO$205,"&gt;"&amp;$AO44)+COUNTIF($AO$6:$AO44,$AO44))</f>
        <v/>
      </c>
      <c r="AQ44" s="78" t="str">
        <f>IF(OR($R44&lt;&gt;"OK",$AP44=""),"",INDEX('Buy list'!$G$5:$G$204,$AP44))</f>
        <v/>
      </c>
      <c r="AR44" s="78" t="str">
        <f>IF($R44&lt;&gt;"OK","",IF($AB44=0,0,MIN($AB44,CEILING(MAX(0,($F44*MAX(0,MIN((Setup!$C$6+1+Setup!$C$20),(Setup!$C$5-Setup!$C$7))-Setup!$C$4)+$F44*Setup!$C$8*MAX(0,MIN((Setup!$C$6+1+Setup!$C$20),Setup!$C$5)-MAX((Setup!$C$5-Setup!$C$7),Setup!$C$4))+$W44/4*MAX(0,MIN((Setup!$C$6+1+Setup!$C$20),Setup!$C$5+4)-MAX(Setup!$C$5,Setup!$C$4))+$F44*Setup!$C$14*MAX(0,(Setup!$C$6+1+Setup!$C$20)-MAX(Setup!$C$5+4,Setup!$C$4)))+$Y44-$K44-IF(AND($L44&lt;&gt;"",$L44&gt;0),IF($M44&lt;=Setup!$C$10,$L44,0),0)),IF(OR($P44="",$P44&lt;=0),1,$P44)))))</f>
        <v/>
      </c>
      <c r="AS44" s="96" t="str">
        <f>IF($R44&lt;&gt;"OK","",IF(AND($O44&lt;&gt;"Domestic",ISNUMBER(Setup!$C$22),Setup!$C$22&gt;Setup!$C$4),Setup!$C$22,Setup!$C$4))</f>
        <v/>
      </c>
      <c r="AT44" s="96" t="str">
        <f>IF($R44&lt;&gt;"OK","",IF($AB44=0,"",IF($O44="Domestic",$AG44,$AS44+$N44+Setup!$C$27+Setup!$C$11)))</f>
        <v/>
      </c>
    </row>
    <row r="45" ht="15" customHeight="1" s="46">
      <c r="A45" s="70" t="n"/>
      <c r="B45" s="70" t="n"/>
      <c r="C45" s="70" t="n"/>
      <c r="D45" s="85" t="n"/>
      <c r="E45" s="85" t="n"/>
      <c r="F45" s="86" t="n"/>
      <c r="G45" s="87" t="n"/>
      <c r="H45" s="88" t="n"/>
      <c r="I45" s="89" t="n"/>
      <c r="J45" s="90" t="n"/>
      <c r="K45" s="87" t="n"/>
      <c r="L45" s="87" t="n"/>
      <c r="M45" s="91" t="n"/>
      <c r="N45" s="92" t="n"/>
      <c r="O45" s="70" t="n"/>
      <c r="P45" s="92" t="n"/>
      <c r="Q45" s="87" t="n"/>
      <c r="R45" s="79" t="str">
        <f>IF($A45="","",IF($C45="","Missing: type",IF(OR($D45="",$D45&lt;=0),"Missing: unit cost",IF($E45="","Missing: unit price",IF($F45="","Missing: daily sales",IF($K45="","Missing: on hand",IF($N45="","Missing: production days",IF($O45="","Missing: freight mode",IF(ISNA(MATCH($O45,Setup!$B$25:$B$29,0)),"Unknown freight mode",IF(AND($L45&lt;&gt;"",$L45&gt;0,$M45=""),"Missing: on-order arrival date","OK"))))))))))</f>
        <v/>
      </c>
      <c r="S45" s="78" t="str">
        <f>IF($R45&lt;&gt;"OK","",IF($G45="","",ROUND($G45/IF(OR($H45="",$H45&lt;=0),4,$H45)*4,0)))</f>
        <v/>
      </c>
      <c r="T45" s="78" t="str">
        <f>IF($R45&lt;&gt;"OK","",ROUND(IF($G45="",$F45*4*Setup!$C$19,$G45/IF(OR($H45="",$H45&lt;=0),4,$H45)*4*(1+IF($I45="",Setup!$C$16,$I45)))*IF($J45="",1,$J45),0))</f>
        <v/>
      </c>
      <c r="U45" s="78" t="str">
        <f>IF($R45&lt;&gt;"OK","",ROUND($T45*Setup!$C$17,0))</f>
        <v/>
      </c>
      <c r="V45" s="78" t="str">
        <f>IF($R45&lt;&gt;"OK","",ROUND($T45*Setup!$C$18,0))</f>
        <v/>
      </c>
      <c r="W45" s="78" t="str">
        <f>IF($R45&lt;&gt;"OK","",IF($C45="Evergreen",$V45,IF($C45="Seasonal or new",$U45,$T45)))</f>
        <v/>
      </c>
      <c r="X45" s="78" t="str">
        <f>IF($R45&lt;&gt;"OK","",ROUND(($F45*MAX(0,MIN(Setup!$C$13+1,(Setup!$C$5-Setup!$C$7))-Setup!$C$4)+$F45*Setup!$C$8*MAX(0,MIN(Setup!$C$13+1,Setup!$C$5)-MAX((Setup!$C$5-Setup!$C$7),Setup!$C$4))+$W45/4*MAX(0,MIN(Setup!$C$13+1,Setup!$C$5+4)-MAX(Setup!$C$5,Setup!$C$4))+$F45*Setup!$C$14*MAX(0,Setup!$C$13+1-MAX(Setup!$C$5+4,Setup!$C$4))),0))</f>
        <v/>
      </c>
      <c r="Y45" s="78" t="str">
        <f>IF($R45&lt;&gt;"OK","",ROUND($F45*Setup!$C$15,0))</f>
        <v/>
      </c>
      <c r="Z45" s="78" t="str">
        <f>IF($R45&lt;&gt;"OK","",IF(AND($L45&lt;&gt;"",$L45&gt;0),IF($M45&lt;=Setup!$C$13,$L45,0),0))</f>
        <v/>
      </c>
      <c r="AA45" s="78" t="str">
        <f>IF($R45&lt;&gt;"OK","",MAX(0,$X45+$Y45-$K45-$Z45))</f>
        <v/>
      </c>
      <c r="AB45" s="78" t="str">
        <f>IF($R45&lt;&gt;"OK","",IF($AA45=0,0,CEILING(MAX($AA45,IF($Q45="",0,$Q45)),IF(OR($P45="",$P45&lt;=0),1,$P45))))</f>
        <v/>
      </c>
      <c r="AC45" s="78" t="str">
        <f>IF($R45&lt;&gt;"OK","",$AB45*$D45)</f>
        <v/>
      </c>
      <c r="AD45" s="93" t="str">
        <f>IF($R45&lt;&gt;"OK","",INDEX(Setup!$D$25:$D$29,MATCH($O45,Setup!$B$25:$B$29,0)))</f>
        <v/>
      </c>
      <c r="AE45" s="93" t="str">
        <f>IF($R45&lt;&gt;"OK","",$AD45-$N45)</f>
        <v/>
      </c>
      <c r="AF45" s="79" t="str">
        <f>IF($R45&lt;&gt;"OK","",IF($AB45=0,"No order needed",IF($AE45&gt;=$AS45,"Order by the deadline",IF(AND($O45&lt;&gt;"Domestic",Setup!$D$27-$N45&gt;=$AS45),"Late by this mode: fly it",IF(Setup!$D$28-$N45&gt;=$AS45,"Late: Express courier only",IF($AG45&lt;Setup!$C$5,"Tight: lands before Black Friday",IF(AND($O45&lt;&gt;"Domestic",$AT45&lt;Setup!$C$5),"Tight: by Air lands before Black Friday",IF($AS45+$N45+Setup!$C$28+Setup!$C$11&lt;Setup!$C$5,"Tight: by Express lands before Black Friday","Too late: ration"))))))))</f>
        <v/>
      </c>
      <c r="AG45" s="93" t="str">
        <f>IF($R45&lt;&gt;"OK","",IF($AB45=0,"",$AS45+$N45+INDEX(Setup!$C$25:$C$29,MATCH($O45,Setup!$B$25:$B$29,0))+Setup!$C$11))</f>
        <v/>
      </c>
      <c r="AH45" s="93" t="str">
        <f>IF($R45&lt;&gt;"OK","",IF($F45&lt;=0,"",INT(IF($K45&lt;($F45*MAX(0,(Setup!$C$5-Setup!$C$7)-Setup!$C$4)),Setup!$C$4+$K45/$F45,IF($K45&lt;($F45*MAX(0,(Setup!$C$5-Setup!$C$7)-Setup!$C$4))+($F45*Setup!$C$8*MAX(0,Setup!$C$5-MAX((Setup!$C$5-Setup!$C$7),Setup!$C$4))),MAX((Setup!$C$5-Setup!$C$7),Setup!$C$4)+($K45-($F45*MAX(0,(Setup!$C$5-Setup!$C$7)-Setup!$C$4)))/($F45*Setup!$C$8),IF(AND($W45&gt;0,$K45&lt;($F45*MAX(0,(Setup!$C$5-Setup!$C$7)-Setup!$C$4))+($F45*Setup!$C$8*MAX(0,Setup!$C$5-MAX((Setup!$C$5-Setup!$C$7),Setup!$C$4)))+($W45/4*MAX(0,Setup!$C$5+4-MAX(Setup!$C$5,Setup!$C$4)))),MAX(Setup!$C$5,Setup!$C$4)+($K45-($F45*MAX(0,(Setup!$C$5-Setup!$C$7)-Setup!$C$4))-($F45*Setup!$C$8*MAX(0,Setup!$C$5-MAX((Setup!$C$5-Setup!$C$7),Setup!$C$4))))/($W45/4),MAX(Setup!$C$5+4,Setup!$C$4)+($K45-($F45*MAX(0,(Setup!$C$5-Setup!$C$7)-Setup!$C$4))-($F45*Setup!$C$8*MAX(0,Setup!$C$5-MAX((Setup!$C$5-Setup!$C$7),Setup!$C$4)))-($W45/4*MAX(0,Setup!$C$5+4-MAX(Setup!$C$5,Setup!$C$4))))/($F45*Setup!$C$14)))))))</f>
        <v/>
      </c>
      <c r="AI45" s="79" t="str">
        <f>IF($R45&lt;&gt;"OK","",IF(AND($L45&lt;&gt;"",$L45&gt;0,ISNUMBER($AH45),$M45&gt;$AH45),"Runs out before the incoming delivery arrives",IF($AB45=0,"OK",IF($K45+IF(AND($L45&lt;&gt;"",$L45&gt;0),IF($M45&lt;=$AG45,$L45,0),0)&lt;($F45*MAX(0,MIN($AG45,(Setup!$C$5-Setup!$C$7))-Setup!$C$4)+$F45*Setup!$C$8*MAX(0,MIN($AG45,Setup!$C$5)-MAX((Setup!$C$5-Setup!$C$7),Setup!$C$4))+$W45/4*MAX(0,MIN($AG45,Setup!$C$5+4)-MAX(Setup!$C$5,Setup!$C$4))+$F45*Setup!$C$14*MAX(0,$AG45-MAX(Setup!$C$5+4,Setup!$C$4))),"Runs out before this order can land","OK"))))</f>
        <v/>
      </c>
      <c r="AJ45" s="78" t="str">
        <f>IF($R45&lt;&gt;"OK","",IF($AB45=0,0,IF($AL45="Too slow: send it all fast",$AB45,$AR45)))</f>
        <v/>
      </c>
      <c r="AK45" s="78" t="str">
        <f>IF($R45&lt;&gt;"OK","",$AB45-$AJ45)</f>
        <v/>
      </c>
      <c r="AL45" s="78" t="str">
        <f>IF($R45&lt;&gt;"OK","",IF($AB45=0,"",IF($AB45-$AR45=0,"Nothing left over",IF($O45="Domestic",IF($AG45&lt;=Setup!$C$6+Setup!$C$20+1,"Later units can go by Domestic","Too slow: send it all fast"),IF($AS45+$N45+Setup!$C$25+Setup!$C$11&lt;=Setup!$C$6+Setup!$C$20+1,"Later units can go by Ocean long",IF($AS45+$N45+Setup!$C$26+Setup!$C$11&lt;=Setup!$C$6+Setup!$C$20+1,"Later units can go by Ocean short",IF($AS45+$N45+Setup!$C$27+Setup!$C$11&lt;=Setup!$C$6+Setup!$C$20+1,"Later units can go by Air",IF($AS45+$N45+Setup!$C$28+Setup!$C$11&lt;=Setup!$C$6+Setup!$C$20+1,"Later units can go by Express","Too slow: send it all fast"))))))))</f>
        <v/>
      </c>
      <c r="AM45" s="94" t="str">
        <f>IF($R45&lt;&gt;"OK","",$E45-$D45)</f>
        <v/>
      </c>
      <c r="AN45" s="95" t="str">
        <f>IF($R45&lt;&gt;"OK","",($E45-$D45)/$D45)</f>
        <v/>
      </c>
      <c r="AO45" s="95" t="str">
        <f>IF($R45&lt;&gt;"OK","",IF($AB45&gt;0,$AN45+IF($C45="Evergreen",1000,0),""))</f>
        <v/>
      </c>
      <c r="AP45" s="78" t="str">
        <f>IF(OR($R45&lt;&gt;"OK",$AO45=""),"",COUNTIF($AO$6:$AO$205,"&gt;"&amp;$AO45)+COUNTIF($AO$6:$AO45,$AO45))</f>
        <v/>
      </c>
      <c r="AQ45" s="78" t="str">
        <f>IF(OR($R45&lt;&gt;"OK",$AP45=""),"",INDEX('Buy list'!$G$5:$G$204,$AP45))</f>
        <v/>
      </c>
      <c r="AR45" s="78" t="str">
        <f>IF($R45&lt;&gt;"OK","",IF($AB45=0,0,MIN($AB45,CEILING(MAX(0,($F45*MAX(0,MIN((Setup!$C$6+1+Setup!$C$20),(Setup!$C$5-Setup!$C$7))-Setup!$C$4)+$F45*Setup!$C$8*MAX(0,MIN((Setup!$C$6+1+Setup!$C$20),Setup!$C$5)-MAX((Setup!$C$5-Setup!$C$7),Setup!$C$4))+$W45/4*MAX(0,MIN((Setup!$C$6+1+Setup!$C$20),Setup!$C$5+4)-MAX(Setup!$C$5,Setup!$C$4))+$F45*Setup!$C$14*MAX(0,(Setup!$C$6+1+Setup!$C$20)-MAX(Setup!$C$5+4,Setup!$C$4)))+$Y45-$K45-IF(AND($L45&lt;&gt;"",$L45&gt;0),IF($M45&lt;=Setup!$C$10,$L45,0),0)),IF(OR($P45="",$P45&lt;=0),1,$P45)))))</f>
        <v/>
      </c>
      <c r="AS45" s="96" t="str">
        <f>IF($R45&lt;&gt;"OK","",IF(AND($O45&lt;&gt;"Domestic",ISNUMBER(Setup!$C$22),Setup!$C$22&gt;Setup!$C$4),Setup!$C$22,Setup!$C$4))</f>
        <v/>
      </c>
      <c r="AT45" s="96" t="str">
        <f>IF($R45&lt;&gt;"OK","",IF($AB45=0,"",IF($O45="Domestic",$AG45,$AS45+$N45+Setup!$C$27+Setup!$C$11)))</f>
        <v/>
      </c>
    </row>
    <row r="46" ht="15" customHeight="1" s="46">
      <c r="A46" s="70" t="n"/>
      <c r="B46" s="70" t="n"/>
      <c r="C46" s="70" t="n"/>
      <c r="D46" s="85" t="n"/>
      <c r="E46" s="85" t="n"/>
      <c r="F46" s="86" t="n"/>
      <c r="G46" s="87" t="n"/>
      <c r="H46" s="88" t="n"/>
      <c r="I46" s="89" t="n"/>
      <c r="J46" s="90" t="n"/>
      <c r="K46" s="87" t="n"/>
      <c r="L46" s="87" t="n"/>
      <c r="M46" s="91" t="n"/>
      <c r="N46" s="92" t="n"/>
      <c r="O46" s="70" t="n"/>
      <c r="P46" s="92" t="n"/>
      <c r="Q46" s="87" t="n"/>
      <c r="R46" s="79" t="str">
        <f>IF($A46="","",IF($C46="","Missing: type",IF(OR($D46="",$D46&lt;=0),"Missing: unit cost",IF($E46="","Missing: unit price",IF($F46="","Missing: daily sales",IF($K46="","Missing: on hand",IF($N46="","Missing: production days",IF($O46="","Missing: freight mode",IF(ISNA(MATCH($O46,Setup!$B$25:$B$29,0)),"Unknown freight mode",IF(AND($L46&lt;&gt;"",$L46&gt;0,$M46=""),"Missing: on-order arrival date","OK"))))))))))</f>
        <v/>
      </c>
      <c r="S46" s="78" t="str">
        <f>IF($R46&lt;&gt;"OK","",IF($G46="","",ROUND($G46/IF(OR($H46="",$H46&lt;=0),4,$H46)*4,0)))</f>
        <v/>
      </c>
      <c r="T46" s="78" t="str">
        <f>IF($R46&lt;&gt;"OK","",ROUND(IF($G46="",$F46*4*Setup!$C$19,$G46/IF(OR($H46="",$H46&lt;=0),4,$H46)*4*(1+IF($I46="",Setup!$C$16,$I46)))*IF($J46="",1,$J46),0))</f>
        <v/>
      </c>
      <c r="U46" s="78" t="str">
        <f>IF($R46&lt;&gt;"OK","",ROUND($T46*Setup!$C$17,0))</f>
        <v/>
      </c>
      <c r="V46" s="78" t="str">
        <f>IF($R46&lt;&gt;"OK","",ROUND($T46*Setup!$C$18,0))</f>
        <v/>
      </c>
      <c r="W46" s="78" t="str">
        <f>IF($R46&lt;&gt;"OK","",IF($C46="Evergreen",$V46,IF($C46="Seasonal or new",$U46,$T46)))</f>
        <v/>
      </c>
      <c r="X46" s="78" t="str">
        <f>IF($R46&lt;&gt;"OK","",ROUND(($F46*MAX(0,MIN(Setup!$C$13+1,(Setup!$C$5-Setup!$C$7))-Setup!$C$4)+$F46*Setup!$C$8*MAX(0,MIN(Setup!$C$13+1,Setup!$C$5)-MAX((Setup!$C$5-Setup!$C$7),Setup!$C$4))+$W46/4*MAX(0,MIN(Setup!$C$13+1,Setup!$C$5+4)-MAX(Setup!$C$5,Setup!$C$4))+$F46*Setup!$C$14*MAX(0,Setup!$C$13+1-MAX(Setup!$C$5+4,Setup!$C$4))),0))</f>
        <v/>
      </c>
      <c r="Y46" s="78" t="str">
        <f>IF($R46&lt;&gt;"OK","",ROUND($F46*Setup!$C$15,0))</f>
        <v/>
      </c>
      <c r="Z46" s="78" t="str">
        <f>IF($R46&lt;&gt;"OK","",IF(AND($L46&lt;&gt;"",$L46&gt;0),IF($M46&lt;=Setup!$C$13,$L46,0),0))</f>
        <v/>
      </c>
      <c r="AA46" s="78" t="str">
        <f>IF($R46&lt;&gt;"OK","",MAX(0,$X46+$Y46-$K46-$Z46))</f>
        <v/>
      </c>
      <c r="AB46" s="78" t="str">
        <f>IF($R46&lt;&gt;"OK","",IF($AA46=0,0,CEILING(MAX($AA46,IF($Q46="",0,$Q46)),IF(OR($P46="",$P46&lt;=0),1,$P46))))</f>
        <v/>
      </c>
      <c r="AC46" s="78" t="str">
        <f>IF($R46&lt;&gt;"OK","",$AB46*$D46)</f>
        <v/>
      </c>
      <c r="AD46" s="93" t="str">
        <f>IF($R46&lt;&gt;"OK","",INDEX(Setup!$D$25:$D$29,MATCH($O46,Setup!$B$25:$B$29,0)))</f>
        <v/>
      </c>
      <c r="AE46" s="93" t="str">
        <f>IF($R46&lt;&gt;"OK","",$AD46-$N46)</f>
        <v/>
      </c>
      <c r="AF46" s="79" t="str">
        <f>IF($R46&lt;&gt;"OK","",IF($AB46=0,"No order needed",IF($AE46&gt;=$AS46,"Order by the deadline",IF(AND($O46&lt;&gt;"Domestic",Setup!$D$27-$N46&gt;=$AS46),"Late by this mode: fly it",IF(Setup!$D$28-$N46&gt;=$AS46,"Late: Express courier only",IF($AG46&lt;Setup!$C$5,"Tight: lands before Black Friday",IF(AND($O46&lt;&gt;"Domestic",$AT46&lt;Setup!$C$5),"Tight: by Air lands before Black Friday",IF($AS46+$N46+Setup!$C$28+Setup!$C$11&lt;Setup!$C$5,"Tight: by Express lands before Black Friday","Too late: ration"))))))))</f>
        <v/>
      </c>
      <c r="AG46" s="93" t="str">
        <f>IF($R46&lt;&gt;"OK","",IF($AB46=0,"",$AS46+$N46+INDEX(Setup!$C$25:$C$29,MATCH($O46,Setup!$B$25:$B$29,0))+Setup!$C$11))</f>
        <v/>
      </c>
      <c r="AH46" s="93" t="str">
        <f>IF($R46&lt;&gt;"OK","",IF($F46&lt;=0,"",INT(IF($K46&lt;($F46*MAX(0,(Setup!$C$5-Setup!$C$7)-Setup!$C$4)),Setup!$C$4+$K46/$F46,IF($K46&lt;($F46*MAX(0,(Setup!$C$5-Setup!$C$7)-Setup!$C$4))+($F46*Setup!$C$8*MAX(0,Setup!$C$5-MAX((Setup!$C$5-Setup!$C$7),Setup!$C$4))),MAX((Setup!$C$5-Setup!$C$7),Setup!$C$4)+($K46-($F46*MAX(0,(Setup!$C$5-Setup!$C$7)-Setup!$C$4)))/($F46*Setup!$C$8),IF(AND($W46&gt;0,$K46&lt;($F46*MAX(0,(Setup!$C$5-Setup!$C$7)-Setup!$C$4))+($F46*Setup!$C$8*MAX(0,Setup!$C$5-MAX((Setup!$C$5-Setup!$C$7),Setup!$C$4)))+($W46/4*MAX(0,Setup!$C$5+4-MAX(Setup!$C$5,Setup!$C$4)))),MAX(Setup!$C$5,Setup!$C$4)+($K46-($F46*MAX(0,(Setup!$C$5-Setup!$C$7)-Setup!$C$4))-($F46*Setup!$C$8*MAX(0,Setup!$C$5-MAX((Setup!$C$5-Setup!$C$7),Setup!$C$4))))/($W46/4),MAX(Setup!$C$5+4,Setup!$C$4)+($K46-($F46*MAX(0,(Setup!$C$5-Setup!$C$7)-Setup!$C$4))-($F46*Setup!$C$8*MAX(0,Setup!$C$5-MAX((Setup!$C$5-Setup!$C$7),Setup!$C$4)))-($W46/4*MAX(0,Setup!$C$5+4-MAX(Setup!$C$5,Setup!$C$4))))/($F46*Setup!$C$14)))))))</f>
        <v/>
      </c>
      <c r="AI46" s="79" t="str">
        <f>IF($R46&lt;&gt;"OK","",IF(AND($L46&lt;&gt;"",$L46&gt;0,ISNUMBER($AH46),$M46&gt;$AH46),"Runs out before the incoming delivery arrives",IF($AB46=0,"OK",IF($K46+IF(AND($L46&lt;&gt;"",$L46&gt;0),IF($M46&lt;=$AG46,$L46,0),0)&lt;($F46*MAX(0,MIN($AG46,(Setup!$C$5-Setup!$C$7))-Setup!$C$4)+$F46*Setup!$C$8*MAX(0,MIN($AG46,Setup!$C$5)-MAX((Setup!$C$5-Setup!$C$7),Setup!$C$4))+$W46/4*MAX(0,MIN($AG46,Setup!$C$5+4)-MAX(Setup!$C$5,Setup!$C$4))+$F46*Setup!$C$14*MAX(0,$AG46-MAX(Setup!$C$5+4,Setup!$C$4))),"Runs out before this order can land","OK"))))</f>
        <v/>
      </c>
      <c r="AJ46" s="78" t="str">
        <f>IF($R46&lt;&gt;"OK","",IF($AB46=0,0,IF($AL46="Too slow: send it all fast",$AB46,$AR46)))</f>
        <v/>
      </c>
      <c r="AK46" s="78" t="str">
        <f>IF($R46&lt;&gt;"OK","",$AB46-$AJ46)</f>
        <v/>
      </c>
      <c r="AL46" s="78" t="str">
        <f>IF($R46&lt;&gt;"OK","",IF($AB46=0,"",IF($AB46-$AR46=0,"Nothing left over",IF($O46="Domestic",IF($AG46&lt;=Setup!$C$6+Setup!$C$20+1,"Later units can go by Domestic","Too slow: send it all fast"),IF($AS46+$N46+Setup!$C$25+Setup!$C$11&lt;=Setup!$C$6+Setup!$C$20+1,"Later units can go by Ocean long",IF($AS46+$N46+Setup!$C$26+Setup!$C$11&lt;=Setup!$C$6+Setup!$C$20+1,"Later units can go by Ocean short",IF($AS46+$N46+Setup!$C$27+Setup!$C$11&lt;=Setup!$C$6+Setup!$C$20+1,"Later units can go by Air",IF($AS46+$N46+Setup!$C$28+Setup!$C$11&lt;=Setup!$C$6+Setup!$C$20+1,"Later units can go by Express","Too slow: send it all fast"))))))))</f>
        <v/>
      </c>
      <c r="AM46" s="94" t="str">
        <f>IF($R46&lt;&gt;"OK","",$E46-$D46)</f>
        <v/>
      </c>
      <c r="AN46" s="95" t="str">
        <f>IF($R46&lt;&gt;"OK","",($E46-$D46)/$D46)</f>
        <v/>
      </c>
      <c r="AO46" s="95" t="str">
        <f>IF($R46&lt;&gt;"OK","",IF($AB46&gt;0,$AN46+IF($C46="Evergreen",1000,0),""))</f>
        <v/>
      </c>
      <c r="AP46" s="78" t="str">
        <f>IF(OR($R46&lt;&gt;"OK",$AO46=""),"",COUNTIF($AO$6:$AO$205,"&gt;"&amp;$AO46)+COUNTIF($AO$6:$AO46,$AO46))</f>
        <v/>
      </c>
      <c r="AQ46" s="78" t="str">
        <f>IF(OR($R46&lt;&gt;"OK",$AP46=""),"",INDEX('Buy list'!$G$5:$G$204,$AP46))</f>
        <v/>
      </c>
      <c r="AR46" s="78" t="str">
        <f>IF($R46&lt;&gt;"OK","",IF($AB46=0,0,MIN($AB46,CEILING(MAX(0,($F46*MAX(0,MIN((Setup!$C$6+1+Setup!$C$20),(Setup!$C$5-Setup!$C$7))-Setup!$C$4)+$F46*Setup!$C$8*MAX(0,MIN((Setup!$C$6+1+Setup!$C$20),Setup!$C$5)-MAX((Setup!$C$5-Setup!$C$7),Setup!$C$4))+$W46/4*MAX(0,MIN((Setup!$C$6+1+Setup!$C$20),Setup!$C$5+4)-MAX(Setup!$C$5,Setup!$C$4))+$F46*Setup!$C$14*MAX(0,(Setup!$C$6+1+Setup!$C$20)-MAX(Setup!$C$5+4,Setup!$C$4)))+$Y46-$K46-IF(AND($L46&lt;&gt;"",$L46&gt;0),IF($M46&lt;=Setup!$C$10,$L46,0),0)),IF(OR($P46="",$P46&lt;=0),1,$P46)))))</f>
        <v/>
      </c>
      <c r="AS46" s="96" t="str">
        <f>IF($R46&lt;&gt;"OK","",IF(AND($O46&lt;&gt;"Domestic",ISNUMBER(Setup!$C$22),Setup!$C$22&gt;Setup!$C$4),Setup!$C$22,Setup!$C$4))</f>
        <v/>
      </c>
      <c r="AT46" s="96" t="str">
        <f>IF($R46&lt;&gt;"OK","",IF($AB46=0,"",IF($O46="Domestic",$AG46,$AS46+$N46+Setup!$C$27+Setup!$C$11)))</f>
        <v/>
      </c>
    </row>
    <row r="47" ht="15" customHeight="1" s="46">
      <c r="A47" s="70" t="n"/>
      <c r="B47" s="70" t="n"/>
      <c r="C47" s="70" t="n"/>
      <c r="D47" s="85" t="n"/>
      <c r="E47" s="85" t="n"/>
      <c r="F47" s="86" t="n"/>
      <c r="G47" s="87" t="n"/>
      <c r="H47" s="88" t="n"/>
      <c r="I47" s="89" t="n"/>
      <c r="J47" s="90" t="n"/>
      <c r="K47" s="87" t="n"/>
      <c r="L47" s="87" t="n"/>
      <c r="M47" s="91" t="n"/>
      <c r="N47" s="92" t="n"/>
      <c r="O47" s="70" t="n"/>
      <c r="P47" s="92" t="n"/>
      <c r="Q47" s="87" t="n"/>
      <c r="R47" s="79" t="str">
        <f>IF($A47="","",IF($C47="","Missing: type",IF(OR($D47="",$D47&lt;=0),"Missing: unit cost",IF($E47="","Missing: unit price",IF($F47="","Missing: daily sales",IF($K47="","Missing: on hand",IF($N47="","Missing: production days",IF($O47="","Missing: freight mode",IF(ISNA(MATCH($O47,Setup!$B$25:$B$29,0)),"Unknown freight mode",IF(AND($L47&lt;&gt;"",$L47&gt;0,$M47=""),"Missing: on-order arrival date","OK"))))))))))</f>
        <v/>
      </c>
      <c r="S47" s="78" t="str">
        <f>IF($R47&lt;&gt;"OK","",IF($G47="","",ROUND($G47/IF(OR($H47="",$H47&lt;=0),4,$H47)*4,0)))</f>
        <v/>
      </c>
      <c r="T47" s="78" t="str">
        <f>IF($R47&lt;&gt;"OK","",ROUND(IF($G47="",$F47*4*Setup!$C$19,$G47/IF(OR($H47="",$H47&lt;=0),4,$H47)*4*(1+IF($I47="",Setup!$C$16,$I47)))*IF($J47="",1,$J47),0))</f>
        <v/>
      </c>
      <c r="U47" s="78" t="str">
        <f>IF($R47&lt;&gt;"OK","",ROUND($T47*Setup!$C$17,0))</f>
        <v/>
      </c>
      <c r="V47" s="78" t="str">
        <f>IF($R47&lt;&gt;"OK","",ROUND($T47*Setup!$C$18,0))</f>
        <v/>
      </c>
      <c r="W47" s="78" t="str">
        <f>IF($R47&lt;&gt;"OK","",IF($C47="Evergreen",$V47,IF($C47="Seasonal or new",$U47,$T47)))</f>
        <v/>
      </c>
      <c r="X47" s="78" t="str">
        <f>IF($R47&lt;&gt;"OK","",ROUND(($F47*MAX(0,MIN(Setup!$C$13+1,(Setup!$C$5-Setup!$C$7))-Setup!$C$4)+$F47*Setup!$C$8*MAX(0,MIN(Setup!$C$13+1,Setup!$C$5)-MAX((Setup!$C$5-Setup!$C$7),Setup!$C$4))+$W47/4*MAX(0,MIN(Setup!$C$13+1,Setup!$C$5+4)-MAX(Setup!$C$5,Setup!$C$4))+$F47*Setup!$C$14*MAX(0,Setup!$C$13+1-MAX(Setup!$C$5+4,Setup!$C$4))),0))</f>
        <v/>
      </c>
      <c r="Y47" s="78" t="str">
        <f>IF($R47&lt;&gt;"OK","",ROUND($F47*Setup!$C$15,0))</f>
        <v/>
      </c>
      <c r="Z47" s="78" t="str">
        <f>IF($R47&lt;&gt;"OK","",IF(AND($L47&lt;&gt;"",$L47&gt;0),IF($M47&lt;=Setup!$C$13,$L47,0),0))</f>
        <v/>
      </c>
      <c r="AA47" s="78" t="str">
        <f>IF($R47&lt;&gt;"OK","",MAX(0,$X47+$Y47-$K47-$Z47))</f>
        <v/>
      </c>
      <c r="AB47" s="78" t="str">
        <f>IF($R47&lt;&gt;"OK","",IF($AA47=0,0,CEILING(MAX($AA47,IF($Q47="",0,$Q47)),IF(OR($P47="",$P47&lt;=0),1,$P47))))</f>
        <v/>
      </c>
      <c r="AC47" s="78" t="str">
        <f>IF($R47&lt;&gt;"OK","",$AB47*$D47)</f>
        <v/>
      </c>
      <c r="AD47" s="93" t="str">
        <f>IF($R47&lt;&gt;"OK","",INDEX(Setup!$D$25:$D$29,MATCH($O47,Setup!$B$25:$B$29,0)))</f>
        <v/>
      </c>
      <c r="AE47" s="93" t="str">
        <f>IF($R47&lt;&gt;"OK","",$AD47-$N47)</f>
        <v/>
      </c>
      <c r="AF47" s="79" t="str">
        <f>IF($R47&lt;&gt;"OK","",IF($AB47=0,"No order needed",IF($AE47&gt;=$AS47,"Order by the deadline",IF(AND($O47&lt;&gt;"Domestic",Setup!$D$27-$N47&gt;=$AS47),"Late by this mode: fly it",IF(Setup!$D$28-$N47&gt;=$AS47,"Late: Express courier only",IF($AG47&lt;Setup!$C$5,"Tight: lands before Black Friday",IF(AND($O47&lt;&gt;"Domestic",$AT47&lt;Setup!$C$5),"Tight: by Air lands before Black Friday",IF($AS47+$N47+Setup!$C$28+Setup!$C$11&lt;Setup!$C$5,"Tight: by Express lands before Black Friday","Too late: ration"))))))))</f>
        <v/>
      </c>
      <c r="AG47" s="93" t="str">
        <f>IF($R47&lt;&gt;"OK","",IF($AB47=0,"",$AS47+$N47+INDEX(Setup!$C$25:$C$29,MATCH($O47,Setup!$B$25:$B$29,0))+Setup!$C$11))</f>
        <v/>
      </c>
      <c r="AH47" s="93" t="str">
        <f>IF($R47&lt;&gt;"OK","",IF($F47&lt;=0,"",INT(IF($K47&lt;($F47*MAX(0,(Setup!$C$5-Setup!$C$7)-Setup!$C$4)),Setup!$C$4+$K47/$F47,IF($K47&lt;($F47*MAX(0,(Setup!$C$5-Setup!$C$7)-Setup!$C$4))+($F47*Setup!$C$8*MAX(0,Setup!$C$5-MAX((Setup!$C$5-Setup!$C$7),Setup!$C$4))),MAX((Setup!$C$5-Setup!$C$7),Setup!$C$4)+($K47-($F47*MAX(0,(Setup!$C$5-Setup!$C$7)-Setup!$C$4)))/($F47*Setup!$C$8),IF(AND($W47&gt;0,$K47&lt;($F47*MAX(0,(Setup!$C$5-Setup!$C$7)-Setup!$C$4))+($F47*Setup!$C$8*MAX(0,Setup!$C$5-MAX((Setup!$C$5-Setup!$C$7),Setup!$C$4)))+($W47/4*MAX(0,Setup!$C$5+4-MAX(Setup!$C$5,Setup!$C$4)))),MAX(Setup!$C$5,Setup!$C$4)+($K47-($F47*MAX(0,(Setup!$C$5-Setup!$C$7)-Setup!$C$4))-($F47*Setup!$C$8*MAX(0,Setup!$C$5-MAX((Setup!$C$5-Setup!$C$7),Setup!$C$4))))/($W47/4),MAX(Setup!$C$5+4,Setup!$C$4)+($K47-($F47*MAX(0,(Setup!$C$5-Setup!$C$7)-Setup!$C$4))-($F47*Setup!$C$8*MAX(0,Setup!$C$5-MAX((Setup!$C$5-Setup!$C$7),Setup!$C$4)))-($W47/4*MAX(0,Setup!$C$5+4-MAX(Setup!$C$5,Setup!$C$4))))/($F47*Setup!$C$14)))))))</f>
        <v/>
      </c>
      <c r="AI47" s="79" t="str">
        <f>IF($R47&lt;&gt;"OK","",IF(AND($L47&lt;&gt;"",$L47&gt;0,ISNUMBER($AH47),$M47&gt;$AH47),"Runs out before the incoming delivery arrives",IF($AB47=0,"OK",IF($K47+IF(AND($L47&lt;&gt;"",$L47&gt;0),IF($M47&lt;=$AG47,$L47,0),0)&lt;($F47*MAX(0,MIN($AG47,(Setup!$C$5-Setup!$C$7))-Setup!$C$4)+$F47*Setup!$C$8*MAX(0,MIN($AG47,Setup!$C$5)-MAX((Setup!$C$5-Setup!$C$7),Setup!$C$4))+$W47/4*MAX(0,MIN($AG47,Setup!$C$5+4)-MAX(Setup!$C$5,Setup!$C$4))+$F47*Setup!$C$14*MAX(0,$AG47-MAX(Setup!$C$5+4,Setup!$C$4))),"Runs out before this order can land","OK"))))</f>
        <v/>
      </c>
      <c r="AJ47" s="78" t="str">
        <f>IF($R47&lt;&gt;"OK","",IF($AB47=0,0,IF($AL47="Too slow: send it all fast",$AB47,$AR47)))</f>
        <v/>
      </c>
      <c r="AK47" s="78" t="str">
        <f>IF($R47&lt;&gt;"OK","",$AB47-$AJ47)</f>
        <v/>
      </c>
      <c r="AL47" s="78" t="str">
        <f>IF($R47&lt;&gt;"OK","",IF($AB47=0,"",IF($AB47-$AR47=0,"Nothing left over",IF($O47="Domestic",IF($AG47&lt;=Setup!$C$6+Setup!$C$20+1,"Later units can go by Domestic","Too slow: send it all fast"),IF($AS47+$N47+Setup!$C$25+Setup!$C$11&lt;=Setup!$C$6+Setup!$C$20+1,"Later units can go by Ocean long",IF($AS47+$N47+Setup!$C$26+Setup!$C$11&lt;=Setup!$C$6+Setup!$C$20+1,"Later units can go by Ocean short",IF($AS47+$N47+Setup!$C$27+Setup!$C$11&lt;=Setup!$C$6+Setup!$C$20+1,"Later units can go by Air",IF($AS47+$N47+Setup!$C$28+Setup!$C$11&lt;=Setup!$C$6+Setup!$C$20+1,"Later units can go by Express","Too slow: send it all fast"))))))))</f>
        <v/>
      </c>
      <c r="AM47" s="94" t="str">
        <f>IF($R47&lt;&gt;"OK","",$E47-$D47)</f>
        <v/>
      </c>
      <c r="AN47" s="95" t="str">
        <f>IF($R47&lt;&gt;"OK","",($E47-$D47)/$D47)</f>
        <v/>
      </c>
      <c r="AO47" s="95" t="str">
        <f>IF($R47&lt;&gt;"OK","",IF($AB47&gt;0,$AN47+IF($C47="Evergreen",1000,0),""))</f>
        <v/>
      </c>
      <c r="AP47" s="78" t="str">
        <f>IF(OR($R47&lt;&gt;"OK",$AO47=""),"",COUNTIF($AO$6:$AO$205,"&gt;"&amp;$AO47)+COUNTIF($AO$6:$AO47,$AO47))</f>
        <v/>
      </c>
      <c r="AQ47" s="78" t="str">
        <f>IF(OR($R47&lt;&gt;"OK",$AP47=""),"",INDEX('Buy list'!$G$5:$G$204,$AP47))</f>
        <v/>
      </c>
      <c r="AR47" s="78" t="str">
        <f>IF($R47&lt;&gt;"OK","",IF($AB47=0,0,MIN($AB47,CEILING(MAX(0,($F47*MAX(0,MIN((Setup!$C$6+1+Setup!$C$20),(Setup!$C$5-Setup!$C$7))-Setup!$C$4)+$F47*Setup!$C$8*MAX(0,MIN((Setup!$C$6+1+Setup!$C$20),Setup!$C$5)-MAX((Setup!$C$5-Setup!$C$7),Setup!$C$4))+$W47/4*MAX(0,MIN((Setup!$C$6+1+Setup!$C$20),Setup!$C$5+4)-MAX(Setup!$C$5,Setup!$C$4))+$F47*Setup!$C$14*MAX(0,(Setup!$C$6+1+Setup!$C$20)-MAX(Setup!$C$5+4,Setup!$C$4)))+$Y47-$K47-IF(AND($L47&lt;&gt;"",$L47&gt;0),IF($M47&lt;=Setup!$C$10,$L47,0),0)),IF(OR($P47="",$P47&lt;=0),1,$P47)))))</f>
        <v/>
      </c>
      <c r="AS47" s="96" t="str">
        <f>IF($R47&lt;&gt;"OK","",IF(AND($O47&lt;&gt;"Domestic",ISNUMBER(Setup!$C$22),Setup!$C$22&gt;Setup!$C$4),Setup!$C$22,Setup!$C$4))</f>
        <v/>
      </c>
      <c r="AT47" s="96" t="str">
        <f>IF($R47&lt;&gt;"OK","",IF($AB47=0,"",IF($O47="Domestic",$AG47,$AS47+$N47+Setup!$C$27+Setup!$C$11)))</f>
        <v/>
      </c>
    </row>
    <row r="48" ht="15" customHeight="1" s="46">
      <c r="A48" s="70" t="n"/>
      <c r="B48" s="70" t="n"/>
      <c r="C48" s="70" t="n"/>
      <c r="D48" s="85" t="n"/>
      <c r="E48" s="85" t="n"/>
      <c r="F48" s="86" t="n"/>
      <c r="G48" s="87" t="n"/>
      <c r="H48" s="88" t="n"/>
      <c r="I48" s="89" t="n"/>
      <c r="J48" s="90" t="n"/>
      <c r="K48" s="87" t="n"/>
      <c r="L48" s="87" t="n"/>
      <c r="M48" s="91" t="n"/>
      <c r="N48" s="92" t="n"/>
      <c r="O48" s="70" t="n"/>
      <c r="P48" s="92" t="n"/>
      <c r="Q48" s="87" t="n"/>
      <c r="R48" s="79" t="str">
        <f>IF($A48="","",IF($C48="","Missing: type",IF(OR($D48="",$D48&lt;=0),"Missing: unit cost",IF($E48="","Missing: unit price",IF($F48="","Missing: daily sales",IF($K48="","Missing: on hand",IF($N48="","Missing: production days",IF($O48="","Missing: freight mode",IF(ISNA(MATCH($O48,Setup!$B$25:$B$29,0)),"Unknown freight mode",IF(AND($L48&lt;&gt;"",$L48&gt;0,$M48=""),"Missing: on-order arrival date","OK"))))))))))</f>
        <v/>
      </c>
      <c r="S48" s="78" t="str">
        <f>IF($R48&lt;&gt;"OK","",IF($G48="","",ROUND($G48/IF(OR($H48="",$H48&lt;=0),4,$H48)*4,0)))</f>
        <v/>
      </c>
      <c r="T48" s="78" t="str">
        <f>IF($R48&lt;&gt;"OK","",ROUND(IF($G48="",$F48*4*Setup!$C$19,$G48/IF(OR($H48="",$H48&lt;=0),4,$H48)*4*(1+IF($I48="",Setup!$C$16,$I48)))*IF($J48="",1,$J48),0))</f>
        <v/>
      </c>
      <c r="U48" s="78" t="str">
        <f>IF($R48&lt;&gt;"OK","",ROUND($T48*Setup!$C$17,0))</f>
        <v/>
      </c>
      <c r="V48" s="78" t="str">
        <f>IF($R48&lt;&gt;"OK","",ROUND($T48*Setup!$C$18,0))</f>
        <v/>
      </c>
      <c r="W48" s="78" t="str">
        <f>IF($R48&lt;&gt;"OK","",IF($C48="Evergreen",$V48,IF($C48="Seasonal or new",$U48,$T48)))</f>
        <v/>
      </c>
      <c r="X48" s="78" t="str">
        <f>IF($R48&lt;&gt;"OK","",ROUND(($F48*MAX(0,MIN(Setup!$C$13+1,(Setup!$C$5-Setup!$C$7))-Setup!$C$4)+$F48*Setup!$C$8*MAX(0,MIN(Setup!$C$13+1,Setup!$C$5)-MAX((Setup!$C$5-Setup!$C$7),Setup!$C$4))+$W48/4*MAX(0,MIN(Setup!$C$13+1,Setup!$C$5+4)-MAX(Setup!$C$5,Setup!$C$4))+$F48*Setup!$C$14*MAX(0,Setup!$C$13+1-MAX(Setup!$C$5+4,Setup!$C$4))),0))</f>
        <v/>
      </c>
      <c r="Y48" s="78" t="str">
        <f>IF($R48&lt;&gt;"OK","",ROUND($F48*Setup!$C$15,0))</f>
        <v/>
      </c>
      <c r="Z48" s="78" t="str">
        <f>IF($R48&lt;&gt;"OK","",IF(AND($L48&lt;&gt;"",$L48&gt;0),IF($M48&lt;=Setup!$C$13,$L48,0),0))</f>
        <v/>
      </c>
      <c r="AA48" s="78" t="str">
        <f>IF($R48&lt;&gt;"OK","",MAX(0,$X48+$Y48-$K48-$Z48))</f>
        <v/>
      </c>
      <c r="AB48" s="78" t="str">
        <f>IF($R48&lt;&gt;"OK","",IF($AA48=0,0,CEILING(MAX($AA48,IF($Q48="",0,$Q48)),IF(OR($P48="",$P48&lt;=0),1,$P48))))</f>
        <v/>
      </c>
      <c r="AC48" s="78" t="str">
        <f>IF($R48&lt;&gt;"OK","",$AB48*$D48)</f>
        <v/>
      </c>
      <c r="AD48" s="93" t="str">
        <f>IF($R48&lt;&gt;"OK","",INDEX(Setup!$D$25:$D$29,MATCH($O48,Setup!$B$25:$B$29,0)))</f>
        <v/>
      </c>
      <c r="AE48" s="93" t="str">
        <f>IF($R48&lt;&gt;"OK","",$AD48-$N48)</f>
        <v/>
      </c>
      <c r="AF48" s="79" t="str">
        <f>IF($R48&lt;&gt;"OK","",IF($AB48=0,"No order needed",IF($AE48&gt;=$AS48,"Order by the deadline",IF(AND($O48&lt;&gt;"Domestic",Setup!$D$27-$N48&gt;=$AS48),"Late by this mode: fly it",IF(Setup!$D$28-$N48&gt;=$AS48,"Late: Express courier only",IF($AG48&lt;Setup!$C$5,"Tight: lands before Black Friday",IF(AND($O48&lt;&gt;"Domestic",$AT48&lt;Setup!$C$5),"Tight: by Air lands before Black Friday",IF($AS48+$N48+Setup!$C$28+Setup!$C$11&lt;Setup!$C$5,"Tight: by Express lands before Black Friday","Too late: ration"))))))))</f>
        <v/>
      </c>
      <c r="AG48" s="93" t="str">
        <f>IF($R48&lt;&gt;"OK","",IF($AB48=0,"",$AS48+$N48+INDEX(Setup!$C$25:$C$29,MATCH($O48,Setup!$B$25:$B$29,0))+Setup!$C$11))</f>
        <v/>
      </c>
      <c r="AH48" s="93" t="str">
        <f>IF($R48&lt;&gt;"OK","",IF($F48&lt;=0,"",INT(IF($K48&lt;($F48*MAX(0,(Setup!$C$5-Setup!$C$7)-Setup!$C$4)),Setup!$C$4+$K48/$F48,IF($K48&lt;($F48*MAX(0,(Setup!$C$5-Setup!$C$7)-Setup!$C$4))+($F48*Setup!$C$8*MAX(0,Setup!$C$5-MAX((Setup!$C$5-Setup!$C$7),Setup!$C$4))),MAX((Setup!$C$5-Setup!$C$7),Setup!$C$4)+($K48-($F48*MAX(0,(Setup!$C$5-Setup!$C$7)-Setup!$C$4)))/($F48*Setup!$C$8),IF(AND($W48&gt;0,$K48&lt;($F48*MAX(0,(Setup!$C$5-Setup!$C$7)-Setup!$C$4))+($F48*Setup!$C$8*MAX(0,Setup!$C$5-MAX((Setup!$C$5-Setup!$C$7),Setup!$C$4)))+($W48/4*MAX(0,Setup!$C$5+4-MAX(Setup!$C$5,Setup!$C$4)))),MAX(Setup!$C$5,Setup!$C$4)+($K48-($F48*MAX(0,(Setup!$C$5-Setup!$C$7)-Setup!$C$4))-($F48*Setup!$C$8*MAX(0,Setup!$C$5-MAX((Setup!$C$5-Setup!$C$7),Setup!$C$4))))/($W48/4),MAX(Setup!$C$5+4,Setup!$C$4)+($K48-($F48*MAX(0,(Setup!$C$5-Setup!$C$7)-Setup!$C$4))-($F48*Setup!$C$8*MAX(0,Setup!$C$5-MAX((Setup!$C$5-Setup!$C$7),Setup!$C$4)))-($W48/4*MAX(0,Setup!$C$5+4-MAX(Setup!$C$5,Setup!$C$4))))/($F48*Setup!$C$14)))))))</f>
        <v/>
      </c>
      <c r="AI48" s="79" t="str">
        <f>IF($R48&lt;&gt;"OK","",IF(AND($L48&lt;&gt;"",$L48&gt;0,ISNUMBER($AH48),$M48&gt;$AH48),"Runs out before the incoming delivery arrives",IF($AB48=0,"OK",IF($K48+IF(AND($L48&lt;&gt;"",$L48&gt;0),IF($M48&lt;=$AG48,$L48,0),0)&lt;($F48*MAX(0,MIN($AG48,(Setup!$C$5-Setup!$C$7))-Setup!$C$4)+$F48*Setup!$C$8*MAX(0,MIN($AG48,Setup!$C$5)-MAX((Setup!$C$5-Setup!$C$7),Setup!$C$4))+$W48/4*MAX(0,MIN($AG48,Setup!$C$5+4)-MAX(Setup!$C$5,Setup!$C$4))+$F48*Setup!$C$14*MAX(0,$AG48-MAX(Setup!$C$5+4,Setup!$C$4))),"Runs out before this order can land","OK"))))</f>
        <v/>
      </c>
      <c r="AJ48" s="78" t="str">
        <f>IF($R48&lt;&gt;"OK","",IF($AB48=0,0,IF($AL48="Too slow: send it all fast",$AB48,$AR48)))</f>
        <v/>
      </c>
      <c r="AK48" s="78" t="str">
        <f>IF($R48&lt;&gt;"OK","",$AB48-$AJ48)</f>
        <v/>
      </c>
      <c r="AL48" s="78" t="str">
        <f>IF($R48&lt;&gt;"OK","",IF($AB48=0,"",IF($AB48-$AR48=0,"Nothing left over",IF($O48="Domestic",IF($AG48&lt;=Setup!$C$6+Setup!$C$20+1,"Later units can go by Domestic","Too slow: send it all fast"),IF($AS48+$N48+Setup!$C$25+Setup!$C$11&lt;=Setup!$C$6+Setup!$C$20+1,"Later units can go by Ocean long",IF($AS48+$N48+Setup!$C$26+Setup!$C$11&lt;=Setup!$C$6+Setup!$C$20+1,"Later units can go by Ocean short",IF($AS48+$N48+Setup!$C$27+Setup!$C$11&lt;=Setup!$C$6+Setup!$C$20+1,"Later units can go by Air",IF($AS48+$N48+Setup!$C$28+Setup!$C$11&lt;=Setup!$C$6+Setup!$C$20+1,"Later units can go by Express","Too slow: send it all fast"))))))))</f>
        <v/>
      </c>
      <c r="AM48" s="94" t="str">
        <f>IF($R48&lt;&gt;"OK","",$E48-$D48)</f>
        <v/>
      </c>
      <c r="AN48" s="95" t="str">
        <f>IF($R48&lt;&gt;"OK","",($E48-$D48)/$D48)</f>
        <v/>
      </c>
      <c r="AO48" s="95" t="str">
        <f>IF($R48&lt;&gt;"OK","",IF($AB48&gt;0,$AN48+IF($C48="Evergreen",1000,0),""))</f>
        <v/>
      </c>
      <c r="AP48" s="78" t="str">
        <f>IF(OR($R48&lt;&gt;"OK",$AO48=""),"",COUNTIF($AO$6:$AO$205,"&gt;"&amp;$AO48)+COUNTIF($AO$6:$AO48,$AO48))</f>
        <v/>
      </c>
      <c r="AQ48" s="78" t="str">
        <f>IF(OR($R48&lt;&gt;"OK",$AP48=""),"",INDEX('Buy list'!$G$5:$G$204,$AP48))</f>
        <v/>
      </c>
      <c r="AR48" s="78" t="str">
        <f>IF($R48&lt;&gt;"OK","",IF($AB48=0,0,MIN($AB48,CEILING(MAX(0,($F48*MAX(0,MIN((Setup!$C$6+1+Setup!$C$20),(Setup!$C$5-Setup!$C$7))-Setup!$C$4)+$F48*Setup!$C$8*MAX(0,MIN((Setup!$C$6+1+Setup!$C$20),Setup!$C$5)-MAX((Setup!$C$5-Setup!$C$7),Setup!$C$4))+$W48/4*MAX(0,MIN((Setup!$C$6+1+Setup!$C$20),Setup!$C$5+4)-MAX(Setup!$C$5,Setup!$C$4))+$F48*Setup!$C$14*MAX(0,(Setup!$C$6+1+Setup!$C$20)-MAX(Setup!$C$5+4,Setup!$C$4)))+$Y48-$K48-IF(AND($L48&lt;&gt;"",$L48&gt;0),IF($M48&lt;=Setup!$C$10,$L48,0),0)),IF(OR($P48="",$P48&lt;=0),1,$P48)))))</f>
        <v/>
      </c>
      <c r="AS48" s="96" t="str">
        <f>IF($R48&lt;&gt;"OK","",IF(AND($O48&lt;&gt;"Domestic",ISNUMBER(Setup!$C$22),Setup!$C$22&gt;Setup!$C$4),Setup!$C$22,Setup!$C$4))</f>
        <v/>
      </c>
      <c r="AT48" s="96" t="str">
        <f>IF($R48&lt;&gt;"OK","",IF($AB48=0,"",IF($O48="Domestic",$AG48,$AS48+$N48+Setup!$C$27+Setup!$C$11)))</f>
        <v/>
      </c>
    </row>
    <row r="49" ht="15" customHeight="1" s="46">
      <c r="A49" s="70" t="n"/>
      <c r="B49" s="70" t="n"/>
      <c r="C49" s="70" t="n"/>
      <c r="D49" s="85" t="n"/>
      <c r="E49" s="85" t="n"/>
      <c r="F49" s="86" t="n"/>
      <c r="G49" s="87" t="n"/>
      <c r="H49" s="88" t="n"/>
      <c r="I49" s="89" t="n"/>
      <c r="J49" s="90" t="n"/>
      <c r="K49" s="87" t="n"/>
      <c r="L49" s="87" t="n"/>
      <c r="M49" s="91" t="n"/>
      <c r="N49" s="92" t="n"/>
      <c r="O49" s="70" t="n"/>
      <c r="P49" s="92" t="n"/>
      <c r="Q49" s="87" t="n"/>
      <c r="R49" s="79" t="str">
        <f>IF($A49="","",IF($C49="","Missing: type",IF(OR($D49="",$D49&lt;=0),"Missing: unit cost",IF($E49="","Missing: unit price",IF($F49="","Missing: daily sales",IF($K49="","Missing: on hand",IF($N49="","Missing: production days",IF($O49="","Missing: freight mode",IF(ISNA(MATCH($O49,Setup!$B$25:$B$29,0)),"Unknown freight mode",IF(AND($L49&lt;&gt;"",$L49&gt;0,$M49=""),"Missing: on-order arrival date","OK"))))))))))</f>
        <v/>
      </c>
      <c r="S49" s="78" t="str">
        <f>IF($R49&lt;&gt;"OK","",IF($G49="","",ROUND($G49/IF(OR($H49="",$H49&lt;=0),4,$H49)*4,0)))</f>
        <v/>
      </c>
      <c r="T49" s="78" t="str">
        <f>IF($R49&lt;&gt;"OK","",ROUND(IF($G49="",$F49*4*Setup!$C$19,$G49/IF(OR($H49="",$H49&lt;=0),4,$H49)*4*(1+IF($I49="",Setup!$C$16,$I49)))*IF($J49="",1,$J49),0))</f>
        <v/>
      </c>
      <c r="U49" s="78" t="str">
        <f>IF($R49&lt;&gt;"OK","",ROUND($T49*Setup!$C$17,0))</f>
        <v/>
      </c>
      <c r="V49" s="78" t="str">
        <f>IF($R49&lt;&gt;"OK","",ROUND($T49*Setup!$C$18,0))</f>
        <v/>
      </c>
      <c r="W49" s="78" t="str">
        <f>IF($R49&lt;&gt;"OK","",IF($C49="Evergreen",$V49,IF($C49="Seasonal or new",$U49,$T49)))</f>
        <v/>
      </c>
      <c r="X49" s="78" t="str">
        <f>IF($R49&lt;&gt;"OK","",ROUND(($F49*MAX(0,MIN(Setup!$C$13+1,(Setup!$C$5-Setup!$C$7))-Setup!$C$4)+$F49*Setup!$C$8*MAX(0,MIN(Setup!$C$13+1,Setup!$C$5)-MAX((Setup!$C$5-Setup!$C$7),Setup!$C$4))+$W49/4*MAX(0,MIN(Setup!$C$13+1,Setup!$C$5+4)-MAX(Setup!$C$5,Setup!$C$4))+$F49*Setup!$C$14*MAX(0,Setup!$C$13+1-MAX(Setup!$C$5+4,Setup!$C$4))),0))</f>
        <v/>
      </c>
      <c r="Y49" s="78" t="str">
        <f>IF($R49&lt;&gt;"OK","",ROUND($F49*Setup!$C$15,0))</f>
        <v/>
      </c>
      <c r="Z49" s="78" t="str">
        <f>IF($R49&lt;&gt;"OK","",IF(AND($L49&lt;&gt;"",$L49&gt;0),IF($M49&lt;=Setup!$C$13,$L49,0),0))</f>
        <v/>
      </c>
      <c r="AA49" s="78" t="str">
        <f>IF($R49&lt;&gt;"OK","",MAX(0,$X49+$Y49-$K49-$Z49))</f>
        <v/>
      </c>
      <c r="AB49" s="78" t="str">
        <f>IF($R49&lt;&gt;"OK","",IF($AA49=0,0,CEILING(MAX($AA49,IF($Q49="",0,$Q49)),IF(OR($P49="",$P49&lt;=0),1,$P49))))</f>
        <v/>
      </c>
      <c r="AC49" s="78" t="str">
        <f>IF($R49&lt;&gt;"OK","",$AB49*$D49)</f>
        <v/>
      </c>
      <c r="AD49" s="93" t="str">
        <f>IF($R49&lt;&gt;"OK","",INDEX(Setup!$D$25:$D$29,MATCH($O49,Setup!$B$25:$B$29,0)))</f>
        <v/>
      </c>
      <c r="AE49" s="93" t="str">
        <f>IF($R49&lt;&gt;"OK","",$AD49-$N49)</f>
        <v/>
      </c>
      <c r="AF49" s="79" t="str">
        <f>IF($R49&lt;&gt;"OK","",IF($AB49=0,"No order needed",IF($AE49&gt;=$AS49,"Order by the deadline",IF(AND($O49&lt;&gt;"Domestic",Setup!$D$27-$N49&gt;=$AS49),"Late by this mode: fly it",IF(Setup!$D$28-$N49&gt;=$AS49,"Late: Express courier only",IF($AG49&lt;Setup!$C$5,"Tight: lands before Black Friday",IF(AND($O49&lt;&gt;"Domestic",$AT49&lt;Setup!$C$5),"Tight: by Air lands before Black Friday",IF($AS49+$N49+Setup!$C$28+Setup!$C$11&lt;Setup!$C$5,"Tight: by Express lands before Black Friday","Too late: ration"))))))))</f>
        <v/>
      </c>
      <c r="AG49" s="93" t="str">
        <f>IF($R49&lt;&gt;"OK","",IF($AB49=0,"",$AS49+$N49+INDEX(Setup!$C$25:$C$29,MATCH($O49,Setup!$B$25:$B$29,0))+Setup!$C$11))</f>
        <v/>
      </c>
      <c r="AH49" s="93" t="str">
        <f>IF($R49&lt;&gt;"OK","",IF($F49&lt;=0,"",INT(IF($K49&lt;($F49*MAX(0,(Setup!$C$5-Setup!$C$7)-Setup!$C$4)),Setup!$C$4+$K49/$F49,IF($K49&lt;($F49*MAX(0,(Setup!$C$5-Setup!$C$7)-Setup!$C$4))+($F49*Setup!$C$8*MAX(0,Setup!$C$5-MAX((Setup!$C$5-Setup!$C$7),Setup!$C$4))),MAX((Setup!$C$5-Setup!$C$7),Setup!$C$4)+($K49-($F49*MAX(0,(Setup!$C$5-Setup!$C$7)-Setup!$C$4)))/($F49*Setup!$C$8),IF(AND($W49&gt;0,$K49&lt;($F49*MAX(0,(Setup!$C$5-Setup!$C$7)-Setup!$C$4))+($F49*Setup!$C$8*MAX(0,Setup!$C$5-MAX((Setup!$C$5-Setup!$C$7),Setup!$C$4)))+($W49/4*MAX(0,Setup!$C$5+4-MAX(Setup!$C$5,Setup!$C$4)))),MAX(Setup!$C$5,Setup!$C$4)+($K49-($F49*MAX(0,(Setup!$C$5-Setup!$C$7)-Setup!$C$4))-($F49*Setup!$C$8*MAX(0,Setup!$C$5-MAX((Setup!$C$5-Setup!$C$7),Setup!$C$4))))/($W49/4),MAX(Setup!$C$5+4,Setup!$C$4)+($K49-($F49*MAX(0,(Setup!$C$5-Setup!$C$7)-Setup!$C$4))-($F49*Setup!$C$8*MAX(0,Setup!$C$5-MAX((Setup!$C$5-Setup!$C$7),Setup!$C$4)))-($W49/4*MAX(0,Setup!$C$5+4-MAX(Setup!$C$5,Setup!$C$4))))/($F49*Setup!$C$14)))))))</f>
        <v/>
      </c>
      <c r="AI49" s="79" t="str">
        <f>IF($R49&lt;&gt;"OK","",IF(AND($L49&lt;&gt;"",$L49&gt;0,ISNUMBER($AH49),$M49&gt;$AH49),"Runs out before the incoming delivery arrives",IF($AB49=0,"OK",IF($K49+IF(AND($L49&lt;&gt;"",$L49&gt;0),IF($M49&lt;=$AG49,$L49,0),0)&lt;($F49*MAX(0,MIN($AG49,(Setup!$C$5-Setup!$C$7))-Setup!$C$4)+$F49*Setup!$C$8*MAX(0,MIN($AG49,Setup!$C$5)-MAX((Setup!$C$5-Setup!$C$7),Setup!$C$4))+$W49/4*MAX(0,MIN($AG49,Setup!$C$5+4)-MAX(Setup!$C$5,Setup!$C$4))+$F49*Setup!$C$14*MAX(0,$AG49-MAX(Setup!$C$5+4,Setup!$C$4))),"Runs out before this order can land","OK"))))</f>
        <v/>
      </c>
      <c r="AJ49" s="78" t="str">
        <f>IF($R49&lt;&gt;"OK","",IF($AB49=0,0,IF($AL49="Too slow: send it all fast",$AB49,$AR49)))</f>
        <v/>
      </c>
      <c r="AK49" s="78" t="str">
        <f>IF($R49&lt;&gt;"OK","",$AB49-$AJ49)</f>
        <v/>
      </c>
      <c r="AL49" s="78" t="str">
        <f>IF($R49&lt;&gt;"OK","",IF($AB49=0,"",IF($AB49-$AR49=0,"Nothing left over",IF($O49="Domestic",IF($AG49&lt;=Setup!$C$6+Setup!$C$20+1,"Later units can go by Domestic","Too slow: send it all fast"),IF($AS49+$N49+Setup!$C$25+Setup!$C$11&lt;=Setup!$C$6+Setup!$C$20+1,"Later units can go by Ocean long",IF($AS49+$N49+Setup!$C$26+Setup!$C$11&lt;=Setup!$C$6+Setup!$C$20+1,"Later units can go by Ocean short",IF($AS49+$N49+Setup!$C$27+Setup!$C$11&lt;=Setup!$C$6+Setup!$C$20+1,"Later units can go by Air",IF($AS49+$N49+Setup!$C$28+Setup!$C$11&lt;=Setup!$C$6+Setup!$C$20+1,"Later units can go by Express","Too slow: send it all fast"))))))))</f>
        <v/>
      </c>
      <c r="AM49" s="94" t="str">
        <f>IF($R49&lt;&gt;"OK","",$E49-$D49)</f>
        <v/>
      </c>
      <c r="AN49" s="95" t="str">
        <f>IF($R49&lt;&gt;"OK","",($E49-$D49)/$D49)</f>
        <v/>
      </c>
      <c r="AO49" s="95" t="str">
        <f>IF($R49&lt;&gt;"OK","",IF($AB49&gt;0,$AN49+IF($C49="Evergreen",1000,0),""))</f>
        <v/>
      </c>
      <c r="AP49" s="78" t="str">
        <f>IF(OR($R49&lt;&gt;"OK",$AO49=""),"",COUNTIF($AO$6:$AO$205,"&gt;"&amp;$AO49)+COUNTIF($AO$6:$AO49,$AO49))</f>
        <v/>
      </c>
      <c r="AQ49" s="78" t="str">
        <f>IF(OR($R49&lt;&gt;"OK",$AP49=""),"",INDEX('Buy list'!$G$5:$G$204,$AP49))</f>
        <v/>
      </c>
      <c r="AR49" s="78" t="str">
        <f>IF($R49&lt;&gt;"OK","",IF($AB49=0,0,MIN($AB49,CEILING(MAX(0,($F49*MAX(0,MIN((Setup!$C$6+1+Setup!$C$20),(Setup!$C$5-Setup!$C$7))-Setup!$C$4)+$F49*Setup!$C$8*MAX(0,MIN((Setup!$C$6+1+Setup!$C$20),Setup!$C$5)-MAX((Setup!$C$5-Setup!$C$7),Setup!$C$4))+$W49/4*MAX(0,MIN((Setup!$C$6+1+Setup!$C$20),Setup!$C$5+4)-MAX(Setup!$C$5,Setup!$C$4))+$F49*Setup!$C$14*MAX(0,(Setup!$C$6+1+Setup!$C$20)-MAX(Setup!$C$5+4,Setup!$C$4)))+$Y49-$K49-IF(AND($L49&lt;&gt;"",$L49&gt;0),IF($M49&lt;=Setup!$C$10,$L49,0),0)),IF(OR($P49="",$P49&lt;=0),1,$P49)))))</f>
        <v/>
      </c>
      <c r="AS49" s="96" t="str">
        <f>IF($R49&lt;&gt;"OK","",IF(AND($O49&lt;&gt;"Domestic",ISNUMBER(Setup!$C$22),Setup!$C$22&gt;Setup!$C$4),Setup!$C$22,Setup!$C$4))</f>
        <v/>
      </c>
      <c r="AT49" s="96" t="str">
        <f>IF($R49&lt;&gt;"OK","",IF($AB49=0,"",IF($O49="Domestic",$AG49,$AS49+$N49+Setup!$C$27+Setup!$C$11)))</f>
        <v/>
      </c>
    </row>
    <row r="50" ht="15" customHeight="1" s="46">
      <c r="A50" s="70" t="n"/>
      <c r="B50" s="70" t="n"/>
      <c r="C50" s="70" t="n"/>
      <c r="D50" s="85" t="n"/>
      <c r="E50" s="85" t="n"/>
      <c r="F50" s="86" t="n"/>
      <c r="G50" s="87" t="n"/>
      <c r="H50" s="88" t="n"/>
      <c r="I50" s="89" t="n"/>
      <c r="J50" s="90" t="n"/>
      <c r="K50" s="87" t="n"/>
      <c r="L50" s="87" t="n"/>
      <c r="M50" s="91" t="n"/>
      <c r="N50" s="92" t="n"/>
      <c r="O50" s="70" t="n"/>
      <c r="P50" s="92" t="n"/>
      <c r="Q50" s="87" t="n"/>
      <c r="R50" s="79" t="str">
        <f>IF($A50="","",IF($C50="","Missing: type",IF(OR($D50="",$D50&lt;=0),"Missing: unit cost",IF($E50="","Missing: unit price",IF($F50="","Missing: daily sales",IF($K50="","Missing: on hand",IF($N50="","Missing: production days",IF($O50="","Missing: freight mode",IF(ISNA(MATCH($O50,Setup!$B$25:$B$29,0)),"Unknown freight mode",IF(AND($L50&lt;&gt;"",$L50&gt;0,$M50=""),"Missing: on-order arrival date","OK"))))))))))</f>
        <v/>
      </c>
      <c r="S50" s="78" t="str">
        <f>IF($R50&lt;&gt;"OK","",IF($G50="","",ROUND($G50/IF(OR($H50="",$H50&lt;=0),4,$H50)*4,0)))</f>
        <v/>
      </c>
      <c r="T50" s="78" t="str">
        <f>IF($R50&lt;&gt;"OK","",ROUND(IF($G50="",$F50*4*Setup!$C$19,$G50/IF(OR($H50="",$H50&lt;=0),4,$H50)*4*(1+IF($I50="",Setup!$C$16,$I50)))*IF($J50="",1,$J50),0))</f>
        <v/>
      </c>
      <c r="U50" s="78" t="str">
        <f>IF($R50&lt;&gt;"OK","",ROUND($T50*Setup!$C$17,0))</f>
        <v/>
      </c>
      <c r="V50" s="78" t="str">
        <f>IF($R50&lt;&gt;"OK","",ROUND($T50*Setup!$C$18,0))</f>
        <v/>
      </c>
      <c r="W50" s="78" t="str">
        <f>IF($R50&lt;&gt;"OK","",IF($C50="Evergreen",$V50,IF($C50="Seasonal or new",$U50,$T50)))</f>
        <v/>
      </c>
      <c r="X50" s="78" t="str">
        <f>IF($R50&lt;&gt;"OK","",ROUND(($F50*MAX(0,MIN(Setup!$C$13+1,(Setup!$C$5-Setup!$C$7))-Setup!$C$4)+$F50*Setup!$C$8*MAX(0,MIN(Setup!$C$13+1,Setup!$C$5)-MAX((Setup!$C$5-Setup!$C$7),Setup!$C$4))+$W50/4*MAX(0,MIN(Setup!$C$13+1,Setup!$C$5+4)-MAX(Setup!$C$5,Setup!$C$4))+$F50*Setup!$C$14*MAX(0,Setup!$C$13+1-MAX(Setup!$C$5+4,Setup!$C$4))),0))</f>
        <v/>
      </c>
      <c r="Y50" s="78" t="str">
        <f>IF($R50&lt;&gt;"OK","",ROUND($F50*Setup!$C$15,0))</f>
        <v/>
      </c>
      <c r="Z50" s="78" t="str">
        <f>IF($R50&lt;&gt;"OK","",IF(AND($L50&lt;&gt;"",$L50&gt;0),IF($M50&lt;=Setup!$C$13,$L50,0),0))</f>
        <v/>
      </c>
      <c r="AA50" s="78" t="str">
        <f>IF($R50&lt;&gt;"OK","",MAX(0,$X50+$Y50-$K50-$Z50))</f>
        <v/>
      </c>
      <c r="AB50" s="78" t="str">
        <f>IF($R50&lt;&gt;"OK","",IF($AA50=0,0,CEILING(MAX($AA50,IF($Q50="",0,$Q50)),IF(OR($P50="",$P50&lt;=0),1,$P50))))</f>
        <v/>
      </c>
      <c r="AC50" s="78" t="str">
        <f>IF($R50&lt;&gt;"OK","",$AB50*$D50)</f>
        <v/>
      </c>
      <c r="AD50" s="93" t="str">
        <f>IF($R50&lt;&gt;"OK","",INDEX(Setup!$D$25:$D$29,MATCH($O50,Setup!$B$25:$B$29,0)))</f>
        <v/>
      </c>
      <c r="AE50" s="93" t="str">
        <f>IF($R50&lt;&gt;"OK","",$AD50-$N50)</f>
        <v/>
      </c>
      <c r="AF50" s="79" t="str">
        <f>IF($R50&lt;&gt;"OK","",IF($AB50=0,"No order needed",IF($AE50&gt;=$AS50,"Order by the deadline",IF(AND($O50&lt;&gt;"Domestic",Setup!$D$27-$N50&gt;=$AS50),"Late by this mode: fly it",IF(Setup!$D$28-$N50&gt;=$AS50,"Late: Express courier only",IF($AG50&lt;Setup!$C$5,"Tight: lands before Black Friday",IF(AND($O50&lt;&gt;"Domestic",$AT50&lt;Setup!$C$5),"Tight: by Air lands before Black Friday",IF($AS50+$N50+Setup!$C$28+Setup!$C$11&lt;Setup!$C$5,"Tight: by Express lands before Black Friday","Too late: ration"))))))))</f>
        <v/>
      </c>
      <c r="AG50" s="93" t="str">
        <f>IF($R50&lt;&gt;"OK","",IF($AB50=0,"",$AS50+$N50+INDEX(Setup!$C$25:$C$29,MATCH($O50,Setup!$B$25:$B$29,0))+Setup!$C$11))</f>
        <v/>
      </c>
      <c r="AH50" s="93" t="str">
        <f>IF($R50&lt;&gt;"OK","",IF($F50&lt;=0,"",INT(IF($K50&lt;($F50*MAX(0,(Setup!$C$5-Setup!$C$7)-Setup!$C$4)),Setup!$C$4+$K50/$F50,IF($K50&lt;($F50*MAX(0,(Setup!$C$5-Setup!$C$7)-Setup!$C$4))+($F50*Setup!$C$8*MAX(0,Setup!$C$5-MAX((Setup!$C$5-Setup!$C$7),Setup!$C$4))),MAX((Setup!$C$5-Setup!$C$7),Setup!$C$4)+($K50-($F50*MAX(0,(Setup!$C$5-Setup!$C$7)-Setup!$C$4)))/($F50*Setup!$C$8),IF(AND($W50&gt;0,$K50&lt;($F50*MAX(0,(Setup!$C$5-Setup!$C$7)-Setup!$C$4))+($F50*Setup!$C$8*MAX(0,Setup!$C$5-MAX((Setup!$C$5-Setup!$C$7),Setup!$C$4)))+($W50/4*MAX(0,Setup!$C$5+4-MAX(Setup!$C$5,Setup!$C$4)))),MAX(Setup!$C$5,Setup!$C$4)+($K50-($F50*MAX(0,(Setup!$C$5-Setup!$C$7)-Setup!$C$4))-($F50*Setup!$C$8*MAX(0,Setup!$C$5-MAX((Setup!$C$5-Setup!$C$7),Setup!$C$4))))/($W50/4),MAX(Setup!$C$5+4,Setup!$C$4)+($K50-($F50*MAX(0,(Setup!$C$5-Setup!$C$7)-Setup!$C$4))-($F50*Setup!$C$8*MAX(0,Setup!$C$5-MAX((Setup!$C$5-Setup!$C$7),Setup!$C$4)))-($W50/4*MAX(0,Setup!$C$5+4-MAX(Setup!$C$5,Setup!$C$4))))/($F50*Setup!$C$14)))))))</f>
        <v/>
      </c>
      <c r="AI50" s="79" t="str">
        <f>IF($R50&lt;&gt;"OK","",IF(AND($L50&lt;&gt;"",$L50&gt;0,ISNUMBER($AH50),$M50&gt;$AH50),"Runs out before the incoming delivery arrives",IF($AB50=0,"OK",IF($K50+IF(AND($L50&lt;&gt;"",$L50&gt;0),IF($M50&lt;=$AG50,$L50,0),0)&lt;($F50*MAX(0,MIN($AG50,(Setup!$C$5-Setup!$C$7))-Setup!$C$4)+$F50*Setup!$C$8*MAX(0,MIN($AG50,Setup!$C$5)-MAX((Setup!$C$5-Setup!$C$7),Setup!$C$4))+$W50/4*MAX(0,MIN($AG50,Setup!$C$5+4)-MAX(Setup!$C$5,Setup!$C$4))+$F50*Setup!$C$14*MAX(0,$AG50-MAX(Setup!$C$5+4,Setup!$C$4))),"Runs out before this order can land","OK"))))</f>
        <v/>
      </c>
      <c r="AJ50" s="78" t="str">
        <f>IF($R50&lt;&gt;"OK","",IF($AB50=0,0,IF($AL50="Too slow: send it all fast",$AB50,$AR50)))</f>
        <v/>
      </c>
      <c r="AK50" s="78" t="str">
        <f>IF($R50&lt;&gt;"OK","",$AB50-$AJ50)</f>
        <v/>
      </c>
      <c r="AL50" s="78" t="str">
        <f>IF($R50&lt;&gt;"OK","",IF($AB50=0,"",IF($AB50-$AR50=0,"Nothing left over",IF($O50="Domestic",IF($AG50&lt;=Setup!$C$6+Setup!$C$20+1,"Later units can go by Domestic","Too slow: send it all fast"),IF($AS50+$N50+Setup!$C$25+Setup!$C$11&lt;=Setup!$C$6+Setup!$C$20+1,"Later units can go by Ocean long",IF($AS50+$N50+Setup!$C$26+Setup!$C$11&lt;=Setup!$C$6+Setup!$C$20+1,"Later units can go by Ocean short",IF($AS50+$N50+Setup!$C$27+Setup!$C$11&lt;=Setup!$C$6+Setup!$C$20+1,"Later units can go by Air",IF($AS50+$N50+Setup!$C$28+Setup!$C$11&lt;=Setup!$C$6+Setup!$C$20+1,"Later units can go by Express","Too slow: send it all fast"))))))))</f>
        <v/>
      </c>
      <c r="AM50" s="94" t="str">
        <f>IF($R50&lt;&gt;"OK","",$E50-$D50)</f>
        <v/>
      </c>
      <c r="AN50" s="95" t="str">
        <f>IF($R50&lt;&gt;"OK","",($E50-$D50)/$D50)</f>
        <v/>
      </c>
      <c r="AO50" s="95" t="str">
        <f>IF($R50&lt;&gt;"OK","",IF($AB50&gt;0,$AN50+IF($C50="Evergreen",1000,0),""))</f>
        <v/>
      </c>
      <c r="AP50" s="78" t="str">
        <f>IF(OR($R50&lt;&gt;"OK",$AO50=""),"",COUNTIF($AO$6:$AO$205,"&gt;"&amp;$AO50)+COUNTIF($AO$6:$AO50,$AO50))</f>
        <v/>
      </c>
      <c r="AQ50" s="78" t="str">
        <f>IF(OR($R50&lt;&gt;"OK",$AP50=""),"",INDEX('Buy list'!$G$5:$G$204,$AP50))</f>
        <v/>
      </c>
      <c r="AR50" s="78" t="str">
        <f>IF($R50&lt;&gt;"OK","",IF($AB50=0,0,MIN($AB50,CEILING(MAX(0,($F50*MAX(0,MIN((Setup!$C$6+1+Setup!$C$20),(Setup!$C$5-Setup!$C$7))-Setup!$C$4)+$F50*Setup!$C$8*MAX(0,MIN((Setup!$C$6+1+Setup!$C$20),Setup!$C$5)-MAX((Setup!$C$5-Setup!$C$7),Setup!$C$4))+$W50/4*MAX(0,MIN((Setup!$C$6+1+Setup!$C$20),Setup!$C$5+4)-MAX(Setup!$C$5,Setup!$C$4))+$F50*Setup!$C$14*MAX(0,(Setup!$C$6+1+Setup!$C$20)-MAX(Setup!$C$5+4,Setup!$C$4)))+$Y50-$K50-IF(AND($L50&lt;&gt;"",$L50&gt;0),IF($M50&lt;=Setup!$C$10,$L50,0),0)),IF(OR($P50="",$P50&lt;=0),1,$P50)))))</f>
        <v/>
      </c>
      <c r="AS50" s="96" t="str">
        <f>IF($R50&lt;&gt;"OK","",IF(AND($O50&lt;&gt;"Domestic",ISNUMBER(Setup!$C$22),Setup!$C$22&gt;Setup!$C$4),Setup!$C$22,Setup!$C$4))</f>
        <v/>
      </c>
      <c r="AT50" s="96" t="str">
        <f>IF($R50&lt;&gt;"OK","",IF($AB50=0,"",IF($O50="Domestic",$AG50,$AS50+$N50+Setup!$C$27+Setup!$C$11)))</f>
        <v/>
      </c>
    </row>
    <row r="51" ht="15" customHeight="1" s="46">
      <c r="A51" s="70" t="n"/>
      <c r="B51" s="70" t="n"/>
      <c r="C51" s="70" t="n"/>
      <c r="D51" s="85" t="n"/>
      <c r="E51" s="85" t="n"/>
      <c r="F51" s="86" t="n"/>
      <c r="G51" s="87" t="n"/>
      <c r="H51" s="88" t="n"/>
      <c r="I51" s="89" t="n"/>
      <c r="J51" s="90" t="n"/>
      <c r="K51" s="87" t="n"/>
      <c r="L51" s="87" t="n"/>
      <c r="M51" s="91" t="n"/>
      <c r="N51" s="92" t="n"/>
      <c r="O51" s="70" t="n"/>
      <c r="P51" s="92" t="n"/>
      <c r="Q51" s="87" t="n"/>
      <c r="R51" s="79" t="str">
        <f>IF($A51="","",IF($C51="","Missing: type",IF(OR($D51="",$D51&lt;=0),"Missing: unit cost",IF($E51="","Missing: unit price",IF($F51="","Missing: daily sales",IF($K51="","Missing: on hand",IF($N51="","Missing: production days",IF($O51="","Missing: freight mode",IF(ISNA(MATCH($O51,Setup!$B$25:$B$29,0)),"Unknown freight mode",IF(AND($L51&lt;&gt;"",$L51&gt;0,$M51=""),"Missing: on-order arrival date","OK"))))))))))</f>
        <v/>
      </c>
      <c r="S51" s="78" t="str">
        <f>IF($R51&lt;&gt;"OK","",IF($G51="","",ROUND($G51/IF(OR($H51="",$H51&lt;=0),4,$H51)*4,0)))</f>
        <v/>
      </c>
      <c r="T51" s="78" t="str">
        <f>IF($R51&lt;&gt;"OK","",ROUND(IF($G51="",$F51*4*Setup!$C$19,$G51/IF(OR($H51="",$H51&lt;=0),4,$H51)*4*(1+IF($I51="",Setup!$C$16,$I51)))*IF($J51="",1,$J51),0))</f>
        <v/>
      </c>
      <c r="U51" s="78" t="str">
        <f>IF($R51&lt;&gt;"OK","",ROUND($T51*Setup!$C$17,0))</f>
        <v/>
      </c>
      <c r="V51" s="78" t="str">
        <f>IF($R51&lt;&gt;"OK","",ROUND($T51*Setup!$C$18,0))</f>
        <v/>
      </c>
      <c r="W51" s="78" t="str">
        <f>IF($R51&lt;&gt;"OK","",IF($C51="Evergreen",$V51,IF($C51="Seasonal or new",$U51,$T51)))</f>
        <v/>
      </c>
      <c r="X51" s="78" t="str">
        <f>IF($R51&lt;&gt;"OK","",ROUND(($F51*MAX(0,MIN(Setup!$C$13+1,(Setup!$C$5-Setup!$C$7))-Setup!$C$4)+$F51*Setup!$C$8*MAX(0,MIN(Setup!$C$13+1,Setup!$C$5)-MAX((Setup!$C$5-Setup!$C$7),Setup!$C$4))+$W51/4*MAX(0,MIN(Setup!$C$13+1,Setup!$C$5+4)-MAX(Setup!$C$5,Setup!$C$4))+$F51*Setup!$C$14*MAX(0,Setup!$C$13+1-MAX(Setup!$C$5+4,Setup!$C$4))),0))</f>
        <v/>
      </c>
      <c r="Y51" s="78" t="str">
        <f>IF($R51&lt;&gt;"OK","",ROUND($F51*Setup!$C$15,0))</f>
        <v/>
      </c>
      <c r="Z51" s="78" t="str">
        <f>IF($R51&lt;&gt;"OK","",IF(AND($L51&lt;&gt;"",$L51&gt;0),IF($M51&lt;=Setup!$C$13,$L51,0),0))</f>
        <v/>
      </c>
      <c r="AA51" s="78" t="str">
        <f>IF($R51&lt;&gt;"OK","",MAX(0,$X51+$Y51-$K51-$Z51))</f>
        <v/>
      </c>
      <c r="AB51" s="78" t="str">
        <f>IF($R51&lt;&gt;"OK","",IF($AA51=0,0,CEILING(MAX($AA51,IF($Q51="",0,$Q51)),IF(OR($P51="",$P51&lt;=0),1,$P51))))</f>
        <v/>
      </c>
      <c r="AC51" s="78" t="str">
        <f>IF($R51&lt;&gt;"OK","",$AB51*$D51)</f>
        <v/>
      </c>
      <c r="AD51" s="93" t="str">
        <f>IF($R51&lt;&gt;"OK","",INDEX(Setup!$D$25:$D$29,MATCH($O51,Setup!$B$25:$B$29,0)))</f>
        <v/>
      </c>
      <c r="AE51" s="93" t="str">
        <f>IF($R51&lt;&gt;"OK","",$AD51-$N51)</f>
        <v/>
      </c>
      <c r="AF51" s="79" t="str">
        <f>IF($R51&lt;&gt;"OK","",IF($AB51=0,"No order needed",IF($AE51&gt;=$AS51,"Order by the deadline",IF(AND($O51&lt;&gt;"Domestic",Setup!$D$27-$N51&gt;=$AS51),"Late by this mode: fly it",IF(Setup!$D$28-$N51&gt;=$AS51,"Late: Express courier only",IF($AG51&lt;Setup!$C$5,"Tight: lands before Black Friday",IF(AND($O51&lt;&gt;"Domestic",$AT51&lt;Setup!$C$5),"Tight: by Air lands before Black Friday",IF($AS51+$N51+Setup!$C$28+Setup!$C$11&lt;Setup!$C$5,"Tight: by Express lands before Black Friday","Too late: ration"))))))))</f>
        <v/>
      </c>
      <c r="AG51" s="93" t="str">
        <f>IF($R51&lt;&gt;"OK","",IF($AB51=0,"",$AS51+$N51+INDEX(Setup!$C$25:$C$29,MATCH($O51,Setup!$B$25:$B$29,0))+Setup!$C$11))</f>
        <v/>
      </c>
      <c r="AH51" s="93" t="str">
        <f>IF($R51&lt;&gt;"OK","",IF($F51&lt;=0,"",INT(IF($K51&lt;($F51*MAX(0,(Setup!$C$5-Setup!$C$7)-Setup!$C$4)),Setup!$C$4+$K51/$F51,IF($K51&lt;($F51*MAX(0,(Setup!$C$5-Setup!$C$7)-Setup!$C$4))+($F51*Setup!$C$8*MAX(0,Setup!$C$5-MAX((Setup!$C$5-Setup!$C$7),Setup!$C$4))),MAX((Setup!$C$5-Setup!$C$7),Setup!$C$4)+($K51-($F51*MAX(0,(Setup!$C$5-Setup!$C$7)-Setup!$C$4)))/($F51*Setup!$C$8),IF(AND($W51&gt;0,$K51&lt;($F51*MAX(0,(Setup!$C$5-Setup!$C$7)-Setup!$C$4))+($F51*Setup!$C$8*MAX(0,Setup!$C$5-MAX((Setup!$C$5-Setup!$C$7),Setup!$C$4)))+($W51/4*MAX(0,Setup!$C$5+4-MAX(Setup!$C$5,Setup!$C$4)))),MAX(Setup!$C$5,Setup!$C$4)+($K51-($F51*MAX(0,(Setup!$C$5-Setup!$C$7)-Setup!$C$4))-($F51*Setup!$C$8*MAX(0,Setup!$C$5-MAX((Setup!$C$5-Setup!$C$7),Setup!$C$4))))/($W51/4),MAX(Setup!$C$5+4,Setup!$C$4)+($K51-($F51*MAX(0,(Setup!$C$5-Setup!$C$7)-Setup!$C$4))-($F51*Setup!$C$8*MAX(0,Setup!$C$5-MAX((Setup!$C$5-Setup!$C$7),Setup!$C$4)))-($W51/4*MAX(0,Setup!$C$5+4-MAX(Setup!$C$5,Setup!$C$4))))/($F51*Setup!$C$14)))))))</f>
        <v/>
      </c>
      <c r="AI51" s="79" t="str">
        <f>IF($R51&lt;&gt;"OK","",IF(AND($L51&lt;&gt;"",$L51&gt;0,ISNUMBER($AH51),$M51&gt;$AH51),"Runs out before the incoming delivery arrives",IF($AB51=0,"OK",IF($K51+IF(AND($L51&lt;&gt;"",$L51&gt;0),IF($M51&lt;=$AG51,$L51,0),0)&lt;($F51*MAX(0,MIN($AG51,(Setup!$C$5-Setup!$C$7))-Setup!$C$4)+$F51*Setup!$C$8*MAX(0,MIN($AG51,Setup!$C$5)-MAX((Setup!$C$5-Setup!$C$7),Setup!$C$4))+$W51/4*MAX(0,MIN($AG51,Setup!$C$5+4)-MAX(Setup!$C$5,Setup!$C$4))+$F51*Setup!$C$14*MAX(0,$AG51-MAX(Setup!$C$5+4,Setup!$C$4))),"Runs out before this order can land","OK"))))</f>
        <v/>
      </c>
      <c r="AJ51" s="78" t="str">
        <f>IF($R51&lt;&gt;"OK","",IF($AB51=0,0,IF($AL51="Too slow: send it all fast",$AB51,$AR51)))</f>
        <v/>
      </c>
      <c r="AK51" s="78" t="str">
        <f>IF($R51&lt;&gt;"OK","",$AB51-$AJ51)</f>
        <v/>
      </c>
      <c r="AL51" s="78" t="str">
        <f>IF($R51&lt;&gt;"OK","",IF($AB51=0,"",IF($AB51-$AR51=0,"Nothing left over",IF($O51="Domestic",IF($AG51&lt;=Setup!$C$6+Setup!$C$20+1,"Later units can go by Domestic","Too slow: send it all fast"),IF($AS51+$N51+Setup!$C$25+Setup!$C$11&lt;=Setup!$C$6+Setup!$C$20+1,"Later units can go by Ocean long",IF($AS51+$N51+Setup!$C$26+Setup!$C$11&lt;=Setup!$C$6+Setup!$C$20+1,"Later units can go by Ocean short",IF($AS51+$N51+Setup!$C$27+Setup!$C$11&lt;=Setup!$C$6+Setup!$C$20+1,"Later units can go by Air",IF($AS51+$N51+Setup!$C$28+Setup!$C$11&lt;=Setup!$C$6+Setup!$C$20+1,"Later units can go by Express","Too slow: send it all fast"))))))))</f>
        <v/>
      </c>
      <c r="AM51" s="94" t="str">
        <f>IF($R51&lt;&gt;"OK","",$E51-$D51)</f>
        <v/>
      </c>
      <c r="AN51" s="95" t="str">
        <f>IF($R51&lt;&gt;"OK","",($E51-$D51)/$D51)</f>
        <v/>
      </c>
      <c r="AO51" s="95" t="str">
        <f>IF($R51&lt;&gt;"OK","",IF($AB51&gt;0,$AN51+IF($C51="Evergreen",1000,0),""))</f>
        <v/>
      </c>
      <c r="AP51" s="78" t="str">
        <f>IF(OR($R51&lt;&gt;"OK",$AO51=""),"",COUNTIF($AO$6:$AO$205,"&gt;"&amp;$AO51)+COUNTIF($AO$6:$AO51,$AO51))</f>
        <v/>
      </c>
      <c r="AQ51" s="78" t="str">
        <f>IF(OR($R51&lt;&gt;"OK",$AP51=""),"",INDEX('Buy list'!$G$5:$G$204,$AP51))</f>
        <v/>
      </c>
      <c r="AR51" s="78" t="str">
        <f>IF($R51&lt;&gt;"OK","",IF($AB51=0,0,MIN($AB51,CEILING(MAX(0,($F51*MAX(0,MIN((Setup!$C$6+1+Setup!$C$20),(Setup!$C$5-Setup!$C$7))-Setup!$C$4)+$F51*Setup!$C$8*MAX(0,MIN((Setup!$C$6+1+Setup!$C$20),Setup!$C$5)-MAX((Setup!$C$5-Setup!$C$7),Setup!$C$4))+$W51/4*MAX(0,MIN((Setup!$C$6+1+Setup!$C$20),Setup!$C$5+4)-MAX(Setup!$C$5,Setup!$C$4))+$F51*Setup!$C$14*MAX(0,(Setup!$C$6+1+Setup!$C$20)-MAX(Setup!$C$5+4,Setup!$C$4)))+$Y51-$K51-IF(AND($L51&lt;&gt;"",$L51&gt;0),IF($M51&lt;=Setup!$C$10,$L51,0),0)),IF(OR($P51="",$P51&lt;=0),1,$P51)))))</f>
        <v/>
      </c>
      <c r="AS51" s="96" t="str">
        <f>IF($R51&lt;&gt;"OK","",IF(AND($O51&lt;&gt;"Domestic",ISNUMBER(Setup!$C$22),Setup!$C$22&gt;Setup!$C$4),Setup!$C$22,Setup!$C$4))</f>
        <v/>
      </c>
      <c r="AT51" s="96" t="str">
        <f>IF($R51&lt;&gt;"OK","",IF($AB51=0,"",IF($O51="Domestic",$AG51,$AS51+$N51+Setup!$C$27+Setup!$C$11)))</f>
        <v/>
      </c>
    </row>
    <row r="52" ht="15" customHeight="1" s="46">
      <c r="A52" s="70" t="n"/>
      <c r="B52" s="70" t="n"/>
      <c r="C52" s="70" t="n"/>
      <c r="D52" s="85" t="n"/>
      <c r="E52" s="85" t="n"/>
      <c r="F52" s="86" t="n"/>
      <c r="G52" s="87" t="n"/>
      <c r="H52" s="88" t="n"/>
      <c r="I52" s="89" t="n"/>
      <c r="J52" s="90" t="n"/>
      <c r="K52" s="87" t="n"/>
      <c r="L52" s="87" t="n"/>
      <c r="M52" s="91" t="n"/>
      <c r="N52" s="92" t="n"/>
      <c r="O52" s="70" t="n"/>
      <c r="P52" s="92" t="n"/>
      <c r="Q52" s="87" t="n"/>
      <c r="R52" s="79" t="str">
        <f>IF($A52="","",IF($C52="","Missing: type",IF(OR($D52="",$D52&lt;=0),"Missing: unit cost",IF($E52="","Missing: unit price",IF($F52="","Missing: daily sales",IF($K52="","Missing: on hand",IF($N52="","Missing: production days",IF($O52="","Missing: freight mode",IF(ISNA(MATCH($O52,Setup!$B$25:$B$29,0)),"Unknown freight mode",IF(AND($L52&lt;&gt;"",$L52&gt;0,$M52=""),"Missing: on-order arrival date","OK"))))))))))</f>
        <v/>
      </c>
      <c r="S52" s="78" t="str">
        <f>IF($R52&lt;&gt;"OK","",IF($G52="","",ROUND($G52/IF(OR($H52="",$H52&lt;=0),4,$H52)*4,0)))</f>
        <v/>
      </c>
      <c r="T52" s="78" t="str">
        <f>IF($R52&lt;&gt;"OK","",ROUND(IF($G52="",$F52*4*Setup!$C$19,$G52/IF(OR($H52="",$H52&lt;=0),4,$H52)*4*(1+IF($I52="",Setup!$C$16,$I52)))*IF($J52="",1,$J52),0))</f>
        <v/>
      </c>
      <c r="U52" s="78" t="str">
        <f>IF($R52&lt;&gt;"OK","",ROUND($T52*Setup!$C$17,0))</f>
        <v/>
      </c>
      <c r="V52" s="78" t="str">
        <f>IF($R52&lt;&gt;"OK","",ROUND($T52*Setup!$C$18,0))</f>
        <v/>
      </c>
      <c r="W52" s="78" t="str">
        <f>IF($R52&lt;&gt;"OK","",IF($C52="Evergreen",$V52,IF($C52="Seasonal or new",$U52,$T52)))</f>
        <v/>
      </c>
      <c r="X52" s="78" t="str">
        <f>IF($R52&lt;&gt;"OK","",ROUND(($F52*MAX(0,MIN(Setup!$C$13+1,(Setup!$C$5-Setup!$C$7))-Setup!$C$4)+$F52*Setup!$C$8*MAX(0,MIN(Setup!$C$13+1,Setup!$C$5)-MAX((Setup!$C$5-Setup!$C$7),Setup!$C$4))+$W52/4*MAX(0,MIN(Setup!$C$13+1,Setup!$C$5+4)-MAX(Setup!$C$5,Setup!$C$4))+$F52*Setup!$C$14*MAX(0,Setup!$C$13+1-MAX(Setup!$C$5+4,Setup!$C$4))),0))</f>
        <v/>
      </c>
      <c r="Y52" s="78" t="str">
        <f>IF($R52&lt;&gt;"OK","",ROUND($F52*Setup!$C$15,0))</f>
        <v/>
      </c>
      <c r="Z52" s="78" t="str">
        <f>IF($R52&lt;&gt;"OK","",IF(AND($L52&lt;&gt;"",$L52&gt;0),IF($M52&lt;=Setup!$C$13,$L52,0),0))</f>
        <v/>
      </c>
      <c r="AA52" s="78" t="str">
        <f>IF($R52&lt;&gt;"OK","",MAX(0,$X52+$Y52-$K52-$Z52))</f>
        <v/>
      </c>
      <c r="AB52" s="78" t="str">
        <f>IF($R52&lt;&gt;"OK","",IF($AA52=0,0,CEILING(MAX($AA52,IF($Q52="",0,$Q52)),IF(OR($P52="",$P52&lt;=0),1,$P52))))</f>
        <v/>
      </c>
      <c r="AC52" s="78" t="str">
        <f>IF($R52&lt;&gt;"OK","",$AB52*$D52)</f>
        <v/>
      </c>
      <c r="AD52" s="93" t="str">
        <f>IF($R52&lt;&gt;"OK","",INDEX(Setup!$D$25:$D$29,MATCH($O52,Setup!$B$25:$B$29,0)))</f>
        <v/>
      </c>
      <c r="AE52" s="93" t="str">
        <f>IF($R52&lt;&gt;"OK","",$AD52-$N52)</f>
        <v/>
      </c>
      <c r="AF52" s="79" t="str">
        <f>IF($R52&lt;&gt;"OK","",IF($AB52=0,"No order needed",IF($AE52&gt;=$AS52,"Order by the deadline",IF(AND($O52&lt;&gt;"Domestic",Setup!$D$27-$N52&gt;=$AS52),"Late by this mode: fly it",IF(Setup!$D$28-$N52&gt;=$AS52,"Late: Express courier only",IF($AG52&lt;Setup!$C$5,"Tight: lands before Black Friday",IF(AND($O52&lt;&gt;"Domestic",$AT52&lt;Setup!$C$5),"Tight: by Air lands before Black Friday",IF($AS52+$N52+Setup!$C$28+Setup!$C$11&lt;Setup!$C$5,"Tight: by Express lands before Black Friday","Too late: ration"))))))))</f>
        <v/>
      </c>
      <c r="AG52" s="93" t="str">
        <f>IF($R52&lt;&gt;"OK","",IF($AB52=0,"",$AS52+$N52+INDEX(Setup!$C$25:$C$29,MATCH($O52,Setup!$B$25:$B$29,0))+Setup!$C$11))</f>
        <v/>
      </c>
      <c r="AH52" s="93" t="str">
        <f>IF($R52&lt;&gt;"OK","",IF($F52&lt;=0,"",INT(IF($K52&lt;($F52*MAX(0,(Setup!$C$5-Setup!$C$7)-Setup!$C$4)),Setup!$C$4+$K52/$F52,IF($K52&lt;($F52*MAX(0,(Setup!$C$5-Setup!$C$7)-Setup!$C$4))+($F52*Setup!$C$8*MAX(0,Setup!$C$5-MAX((Setup!$C$5-Setup!$C$7),Setup!$C$4))),MAX((Setup!$C$5-Setup!$C$7),Setup!$C$4)+($K52-($F52*MAX(0,(Setup!$C$5-Setup!$C$7)-Setup!$C$4)))/($F52*Setup!$C$8),IF(AND($W52&gt;0,$K52&lt;($F52*MAX(0,(Setup!$C$5-Setup!$C$7)-Setup!$C$4))+($F52*Setup!$C$8*MAX(0,Setup!$C$5-MAX((Setup!$C$5-Setup!$C$7),Setup!$C$4)))+($W52/4*MAX(0,Setup!$C$5+4-MAX(Setup!$C$5,Setup!$C$4)))),MAX(Setup!$C$5,Setup!$C$4)+($K52-($F52*MAX(0,(Setup!$C$5-Setup!$C$7)-Setup!$C$4))-($F52*Setup!$C$8*MAX(0,Setup!$C$5-MAX((Setup!$C$5-Setup!$C$7),Setup!$C$4))))/($W52/4),MAX(Setup!$C$5+4,Setup!$C$4)+($K52-($F52*MAX(0,(Setup!$C$5-Setup!$C$7)-Setup!$C$4))-($F52*Setup!$C$8*MAX(0,Setup!$C$5-MAX((Setup!$C$5-Setup!$C$7),Setup!$C$4)))-($W52/4*MAX(0,Setup!$C$5+4-MAX(Setup!$C$5,Setup!$C$4))))/($F52*Setup!$C$14)))))))</f>
        <v/>
      </c>
      <c r="AI52" s="79" t="str">
        <f>IF($R52&lt;&gt;"OK","",IF(AND($L52&lt;&gt;"",$L52&gt;0,ISNUMBER($AH52),$M52&gt;$AH52),"Runs out before the incoming delivery arrives",IF($AB52=0,"OK",IF($K52+IF(AND($L52&lt;&gt;"",$L52&gt;0),IF($M52&lt;=$AG52,$L52,0),0)&lt;($F52*MAX(0,MIN($AG52,(Setup!$C$5-Setup!$C$7))-Setup!$C$4)+$F52*Setup!$C$8*MAX(0,MIN($AG52,Setup!$C$5)-MAX((Setup!$C$5-Setup!$C$7),Setup!$C$4))+$W52/4*MAX(0,MIN($AG52,Setup!$C$5+4)-MAX(Setup!$C$5,Setup!$C$4))+$F52*Setup!$C$14*MAX(0,$AG52-MAX(Setup!$C$5+4,Setup!$C$4))),"Runs out before this order can land","OK"))))</f>
        <v/>
      </c>
      <c r="AJ52" s="78" t="str">
        <f>IF($R52&lt;&gt;"OK","",IF($AB52=0,0,IF($AL52="Too slow: send it all fast",$AB52,$AR52)))</f>
        <v/>
      </c>
      <c r="AK52" s="78" t="str">
        <f>IF($R52&lt;&gt;"OK","",$AB52-$AJ52)</f>
        <v/>
      </c>
      <c r="AL52" s="78" t="str">
        <f>IF($R52&lt;&gt;"OK","",IF($AB52=0,"",IF($AB52-$AR52=0,"Nothing left over",IF($O52="Domestic",IF($AG52&lt;=Setup!$C$6+Setup!$C$20+1,"Later units can go by Domestic","Too slow: send it all fast"),IF($AS52+$N52+Setup!$C$25+Setup!$C$11&lt;=Setup!$C$6+Setup!$C$20+1,"Later units can go by Ocean long",IF($AS52+$N52+Setup!$C$26+Setup!$C$11&lt;=Setup!$C$6+Setup!$C$20+1,"Later units can go by Ocean short",IF($AS52+$N52+Setup!$C$27+Setup!$C$11&lt;=Setup!$C$6+Setup!$C$20+1,"Later units can go by Air",IF($AS52+$N52+Setup!$C$28+Setup!$C$11&lt;=Setup!$C$6+Setup!$C$20+1,"Later units can go by Express","Too slow: send it all fast"))))))))</f>
        <v/>
      </c>
      <c r="AM52" s="94" t="str">
        <f>IF($R52&lt;&gt;"OK","",$E52-$D52)</f>
        <v/>
      </c>
      <c r="AN52" s="95" t="str">
        <f>IF($R52&lt;&gt;"OK","",($E52-$D52)/$D52)</f>
        <v/>
      </c>
      <c r="AO52" s="95" t="str">
        <f>IF($R52&lt;&gt;"OK","",IF($AB52&gt;0,$AN52+IF($C52="Evergreen",1000,0),""))</f>
        <v/>
      </c>
      <c r="AP52" s="78" t="str">
        <f>IF(OR($R52&lt;&gt;"OK",$AO52=""),"",COUNTIF($AO$6:$AO$205,"&gt;"&amp;$AO52)+COUNTIF($AO$6:$AO52,$AO52))</f>
        <v/>
      </c>
      <c r="AQ52" s="78" t="str">
        <f>IF(OR($R52&lt;&gt;"OK",$AP52=""),"",INDEX('Buy list'!$G$5:$G$204,$AP52))</f>
        <v/>
      </c>
      <c r="AR52" s="78" t="str">
        <f>IF($R52&lt;&gt;"OK","",IF($AB52=0,0,MIN($AB52,CEILING(MAX(0,($F52*MAX(0,MIN((Setup!$C$6+1+Setup!$C$20),(Setup!$C$5-Setup!$C$7))-Setup!$C$4)+$F52*Setup!$C$8*MAX(0,MIN((Setup!$C$6+1+Setup!$C$20),Setup!$C$5)-MAX((Setup!$C$5-Setup!$C$7),Setup!$C$4))+$W52/4*MAX(0,MIN((Setup!$C$6+1+Setup!$C$20),Setup!$C$5+4)-MAX(Setup!$C$5,Setup!$C$4))+$F52*Setup!$C$14*MAX(0,(Setup!$C$6+1+Setup!$C$20)-MAX(Setup!$C$5+4,Setup!$C$4)))+$Y52-$K52-IF(AND($L52&lt;&gt;"",$L52&gt;0),IF($M52&lt;=Setup!$C$10,$L52,0),0)),IF(OR($P52="",$P52&lt;=0),1,$P52)))))</f>
        <v/>
      </c>
      <c r="AS52" s="96" t="str">
        <f>IF($R52&lt;&gt;"OK","",IF(AND($O52&lt;&gt;"Domestic",ISNUMBER(Setup!$C$22),Setup!$C$22&gt;Setup!$C$4),Setup!$C$22,Setup!$C$4))</f>
        <v/>
      </c>
      <c r="AT52" s="96" t="str">
        <f>IF($R52&lt;&gt;"OK","",IF($AB52=0,"",IF($O52="Domestic",$AG52,$AS52+$N52+Setup!$C$27+Setup!$C$11)))</f>
        <v/>
      </c>
    </row>
    <row r="53" ht="15" customHeight="1" s="46">
      <c r="A53" s="70" t="n"/>
      <c r="B53" s="70" t="n"/>
      <c r="C53" s="70" t="n"/>
      <c r="D53" s="85" t="n"/>
      <c r="E53" s="85" t="n"/>
      <c r="F53" s="86" t="n"/>
      <c r="G53" s="87" t="n"/>
      <c r="H53" s="88" t="n"/>
      <c r="I53" s="89" t="n"/>
      <c r="J53" s="90" t="n"/>
      <c r="K53" s="87" t="n"/>
      <c r="L53" s="87" t="n"/>
      <c r="M53" s="91" t="n"/>
      <c r="N53" s="92" t="n"/>
      <c r="O53" s="70" t="n"/>
      <c r="P53" s="92" t="n"/>
      <c r="Q53" s="87" t="n"/>
      <c r="R53" s="79" t="str">
        <f>IF($A53="","",IF($C53="","Missing: type",IF(OR($D53="",$D53&lt;=0),"Missing: unit cost",IF($E53="","Missing: unit price",IF($F53="","Missing: daily sales",IF($K53="","Missing: on hand",IF($N53="","Missing: production days",IF($O53="","Missing: freight mode",IF(ISNA(MATCH($O53,Setup!$B$25:$B$29,0)),"Unknown freight mode",IF(AND($L53&lt;&gt;"",$L53&gt;0,$M53=""),"Missing: on-order arrival date","OK"))))))))))</f>
        <v/>
      </c>
      <c r="S53" s="78" t="str">
        <f>IF($R53&lt;&gt;"OK","",IF($G53="","",ROUND($G53/IF(OR($H53="",$H53&lt;=0),4,$H53)*4,0)))</f>
        <v/>
      </c>
      <c r="T53" s="78" t="str">
        <f>IF($R53&lt;&gt;"OK","",ROUND(IF($G53="",$F53*4*Setup!$C$19,$G53/IF(OR($H53="",$H53&lt;=0),4,$H53)*4*(1+IF($I53="",Setup!$C$16,$I53)))*IF($J53="",1,$J53),0))</f>
        <v/>
      </c>
      <c r="U53" s="78" t="str">
        <f>IF($R53&lt;&gt;"OK","",ROUND($T53*Setup!$C$17,0))</f>
        <v/>
      </c>
      <c r="V53" s="78" t="str">
        <f>IF($R53&lt;&gt;"OK","",ROUND($T53*Setup!$C$18,0))</f>
        <v/>
      </c>
      <c r="W53" s="78" t="str">
        <f>IF($R53&lt;&gt;"OK","",IF($C53="Evergreen",$V53,IF($C53="Seasonal or new",$U53,$T53)))</f>
        <v/>
      </c>
      <c r="X53" s="78" t="str">
        <f>IF($R53&lt;&gt;"OK","",ROUND(($F53*MAX(0,MIN(Setup!$C$13+1,(Setup!$C$5-Setup!$C$7))-Setup!$C$4)+$F53*Setup!$C$8*MAX(0,MIN(Setup!$C$13+1,Setup!$C$5)-MAX((Setup!$C$5-Setup!$C$7),Setup!$C$4))+$W53/4*MAX(0,MIN(Setup!$C$13+1,Setup!$C$5+4)-MAX(Setup!$C$5,Setup!$C$4))+$F53*Setup!$C$14*MAX(0,Setup!$C$13+1-MAX(Setup!$C$5+4,Setup!$C$4))),0))</f>
        <v/>
      </c>
      <c r="Y53" s="78" t="str">
        <f>IF($R53&lt;&gt;"OK","",ROUND($F53*Setup!$C$15,0))</f>
        <v/>
      </c>
      <c r="Z53" s="78" t="str">
        <f>IF($R53&lt;&gt;"OK","",IF(AND($L53&lt;&gt;"",$L53&gt;0),IF($M53&lt;=Setup!$C$13,$L53,0),0))</f>
        <v/>
      </c>
      <c r="AA53" s="78" t="str">
        <f>IF($R53&lt;&gt;"OK","",MAX(0,$X53+$Y53-$K53-$Z53))</f>
        <v/>
      </c>
      <c r="AB53" s="78" t="str">
        <f>IF($R53&lt;&gt;"OK","",IF($AA53=0,0,CEILING(MAX($AA53,IF($Q53="",0,$Q53)),IF(OR($P53="",$P53&lt;=0),1,$P53))))</f>
        <v/>
      </c>
      <c r="AC53" s="78" t="str">
        <f>IF($R53&lt;&gt;"OK","",$AB53*$D53)</f>
        <v/>
      </c>
      <c r="AD53" s="93" t="str">
        <f>IF($R53&lt;&gt;"OK","",INDEX(Setup!$D$25:$D$29,MATCH($O53,Setup!$B$25:$B$29,0)))</f>
        <v/>
      </c>
      <c r="AE53" s="93" t="str">
        <f>IF($R53&lt;&gt;"OK","",$AD53-$N53)</f>
        <v/>
      </c>
      <c r="AF53" s="79" t="str">
        <f>IF($R53&lt;&gt;"OK","",IF($AB53=0,"No order needed",IF($AE53&gt;=$AS53,"Order by the deadline",IF(AND($O53&lt;&gt;"Domestic",Setup!$D$27-$N53&gt;=$AS53),"Late by this mode: fly it",IF(Setup!$D$28-$N53&gt;=$AS53,"Late: Express courier only",IF($AG53&lt;Setup!$C$5,"Tight: lands before Black Friday",IF(AND($O53&lt;&gt;"Domestic",$AT53&lt;Setup!$C$5),"Tight: by Air lands before Black Friday",IF($AS53+$N53+Setup!$C$28+Setup!$C$11&lt;Setup!$C$5,"Tight: by Express lands before Black Friday","Too late: ration"))))))))</f>
        <v/>
      </c>
      <c r="AG53" s="93" t="str">
        <f>IF($R53&lt;&gt;"OK","",IF($AB53=0,"",$AS53+$N53+INDEX(Setup!$C$25:$C$29,MATCH($O53,Setup!$B$25:$B$29,0))+Setup!$C$11))</f>
        <v/>
      </c>
      <c r="AH53" s="93" t="str">
        <f>IF($R53&lt;&gt;"OK","",IF($F53&lt;=0,"",INT(IF($K53&lt;($F53*MAX(0,(Setup!$C$5-Setup!$C$7)-Setup!$C$4)),Setup!$C$4+$K53/$F53,IF($K53&lt;($F53*MAX(0,(Setup!$C$5-Setup!$C$7)-Setup!$C$4))+($F53*Setup!$C$8*MAX(0,Setup!$C$5-MAX((Setup!$C$5-Setup!$C$7),Setup!$C$4))),MAX((Setup!$C$5-Setup!$C$7),Setup!$C$4)+($K53-($F53*MAX(0,(Setup!$C$5-Setup!$C$7)-Setup!$C$4)))/($F53*Setup!$C$8),IF(AND($W53&gt;0,$K53&lt;($F53*MAX(0,(Setup!$C$5-Setup!$C$7)-Setup!$C$4))+($F53*Setup!$C$8*MAX(0,Setup!$C$5-MAX((Setup!$C$5-Setup!$C$7),Setup!$C$4)))+($W53/4*MAX(0,Setup!$C$5+4-MAX(Setup!$C$5,Setup!$C$4)))),MAX(Setup!$C$5,Setup!$C$4)+($K53-($F53*MAX(0,(Setup!$C$5-Setup!$C$7)-Setup!$C$4))-($F53*Setup!$C$8*MAX(0,Setup!$C$5-MAX((Setup!$C$5-Setup!$C$7),Setup!$C$4))))/($W53/4),MAX(Setup!$C$5+4,Setup!$C$4)+($K53-($F53*MAX(0,(Setup!$C$5-Setup!$C$7)-Setup!$C$4))-($F53*Setup!$C$8*MAX(0,Setup!$C$5-MAX((Setup!$C$5-Setup!$C$7),Setup!$C$4)))-($W53/4*MAX(0,Setup!$C$5+4-MAX(Setup!$C$5,Setup!$C$4))))/($F53*Setup!$C$14)))))))</f>
        <v/>
      </c>
      <c r="AI53" s="79" t="str">
        <f>IF($R53&lt;&gt;"OK","",IF(AND($L53&lt;&gt;"",$L53&gt;0,ISNUMBER($AH53),$M53&gt;$AH53),"Runs out before the incoming delivery arrives",IF($AB53=0,"OK",IF($K53+IF(AND($L53&lt;&gt;"",$L53&gt;0),IF($M53&lt;=$AG53,$L53,0),0)&lt;($F53*MAX(0,MIN($AG53,(Setup!$C$5-Setup!$C$7))-Setup!$C$4)+$F53*Setup!$C$8*MAX(0,MIN($AG53,Setup!$C$5)-MAX((Setup!$C$5-Setup!$C$7),Setup!$C$4))+$W53/4*MAX(0,MIN($AG53,Setup!$C$5+4)-MAX(Setup!$C$5,Setup!$C$4))+$F53*Setup!$C$14*MAX(0,$AG53-MAX(Setup!$C$5+4,Setup!$C$4))),"Runs out before this order can land","OK"))))</f>
        <v/>
      </c>
      <c r="AJ53" s="78" t="str">
        <f>IF($R53&lt;&gt;"OK","",IF($AB53=0,0,IF($AL53="Too slow: send it all fast",$AB53,$AR53)))</f>
        <v/>
      </c>
      <c r="AK53" s="78" t="str">
        <f>IF($R53&lt;&gt;"OK","",$AB53-$AJ53)</f>
        <v/>
      </c>
      <c r="AL53" s="78" t="str">
        <f>IF($R53&lt;&gt;"OK","",IF($AB53=0,"",IF($AB53-$AR53=0,"Nothing left over",IF($O53="Domestic",IF($AG53&lt;=Setup!$C$6+Setup!$C$20+1,"Later units can go by Domestic","Too slow: send it all fast"),IF($AS53+$N53+Setup!$C$25+Setup!$C$11&lt;=Setup!$C$6+Setup!$C$20+1,"Later units can go by Ocean long",IF($AS53+$N53+Setup!$C$26+Setup!$C$11&lt;=Setup!$C$6+Setup!$C$20+1,"Later units can go by Ocean short",IF($AS53+$N53+Setup!$C$27+Setup!$C$11&lt;=Setup!$C$6+Setup!$C$20+1,"Later units can go by Air",IF($AS53+$N53+Setup!$C$28+Setup!$C$11&lt;=Setup!$C$6+Setup!$C$20+1,"Later units can go by Express","Too slow: send it all fast"))))))))</f>
        <v/>
      </c>
      <c r="AM53" s="94" t="str">
        <f>IF($R53&lt;&gt;"OK","",$E53-$D53)</f>
        <v/>
      </c>
      <c r="AN53" s="95" t="str">
        <f>IF($R53&lt;&gt;"OK","",($E53-$D53)/$D53)</f>
        <v/>
      </c>
      <c r="AO53" s="95" t="str">
        <f>IF($R53&lt;&gt;"OK","",IF($AB53&gt;0,$AN53+IF($C53="Evergreen",1000,0),""))</f>
        <v/>
      </c>
      <c r="AP53" s="78" t="str">
        <f>IF(OR($R53&lt;&gt;"OK",$AO53=""),"",COUNTIF($AO$6:$AO$205,"&gt;"&amp;$AO53)+COUNTIF($AO$6:$AO53,$AO53))</f>
        <v/>
      </c>
      <c r="AQ53" s="78" t="str">
        <f>IF(OR($R53&lt;&gt;"OK",$AP53=""),"",INDEX('Buy list'!$G$5:$G$204,$AP53))</f>
        <v/>
      </c>
      <c r="AR53" s="78" t="str">
        <f>IF($R53&lt;&gt;"OK","",IF($AB53=0,0,MIN($AB53,CEILING(MAX(0,($F53*MAX(0,MIN((Setup!$C$6+1+Setup!$C$20),(Setup!$C$5-Setup!$C$7))-Setup!$C$4)+$F53*Setup!$C$8*MAX(0,MIN((Setup!$C$6+1+Setup!$C$20),Setup!$C$5)-MAX((Setup!$C$5-Setup!$C$7),Setup!$C$4))+$W53/4*MAX(0,MIN((Setup!$C$6+1+Setup!$C$20),Setup!$C$5+4)-MAX(Setup!$C$5,Setup!$C$4))+$F53*Setup!$C$14*MAX(0,(Setup!$C$6+1+Setup!$C$20)-MAX(Setup!$C$5+4,Setup!$C$4)))+$Y53-$K53-IF(AND($L53&lt;&gt;"",$L53&gt;0),IF($M53&lt;=Setup!$C$10,$L53,0),0)),IF(OR($P53="",$P53&lt;=0),1,$P53)))))</f>
        <v/>
      </c>
      <c r="AS53" s="96" t="str">
        <f>IF($R53&lt;&gt;"OK","",IF(AND($O53&lt;&gt;"Domestic",ISNUMBER(Setup!$C$22),Setup!$C$22&gt;Setup!$C$4),Setup!$C$22,Setup!$C$4))</f>
        <v/>
      </c>
      <c r="AT53" s="96" t="str">
        <f>IF($R53&lt;&gt;"OK","",IF($AB53=0,"",IF($O53="Domestic",$AG53,$AS53+$N53+Setup!$C$27+Setup!$C$11)))</f>
        <v/>
      </c>
    </row>
    <row r="54" ht="15" customHeight="1" s="46">
      <c r="A54" s="70" t="n"/>
      <c r="B54" s="70" t="n"/>
      <c r="C54" s="70" t="n"/>
      <c r="D54" s="85" t="n"/>
      <c r="E54" s="85" t="n"/>
      <c r="F54" s="86" t="n"/>
      <c r="G54" s="87" t="n"/>
      <c r="H54" s="88" t="n"/>
      <c r="I54" s="89" t="n"/>
      <c r="J54" s="90" t="n"/>
      <c r="K54" s="87" t="n"/>
      <c r="L54" s="87" t="n"/>
      <c r="M54" s="91" t="n"/>
      <c r="N54" s="92" t="n"/>
      <c r="O54" s="70" t="n"/>
      <c r="P54" s="92" t="n"/>
      <c r="Q54" s="87" t="n"/>
      <c r="R54" s="79" t="str">
        <f>IF($A54="","",IF($C54="","Missing: type",IF(OR($D54="",$D54&lt;=0),"Missing: unit cost",IF($E54="","Missing: unit price",IF($F54="","Missing: daily sales",IF($K54="","Missing: on hand",IF($N54="","Missing: production days",IF($O54="","Missing: freight mode",IF(ISNA(MATCH($O54,Setup!$B$25:$B$29,0)),"Unknown freight mode",IF(AND($L54&lt;&gt;"",$L54&gt;0,$M54=""),"Missing: on-order arrival date","OK"))))))))))</f>
        <v/>
      </c>
      <c r="S54" s="78" t="str">
        <f>IF($R54&lt;&gt;"OK","",IF($G54="","",ROUND($G54/IF(OR($H54="",$H54&lt;=0),4,$H54)*4,0)))</f>
        <v/>
      </c>
      <c r="T54" s="78" t="str">
        <f>IF($R54&lt;&gt;"OK","",ROUND(IF($G54="",$F54*4*Setup!$C$19,$G54/IF(OR($H54="",$H54&lt;=0),4,$H54)*4*(1+IF($I54="",Setup!$C$16,$I54)))*IF($J54="",1,$J54),0))</f>
        <v/>
      </c>
      <c r="U54" s="78" t="str">
        <f>IF($R54&lt;&gt;"OK","",ROUND($T54*Setup!$C$17,0))</f>
        <v/>
      </c>
      <c r="V54" s="78" t="str">
        <f>IF($R54&lt;&gt;"OK","",ROUND($T54*Setup!$C$18,0))</f>
        <v/>
      </c>
      <c r="W54" s="78" t="str">
        <f>IF($R54&lt;&gt;"OK","",IF($C54="Evergreen",$V54,IF($C54="Seasonal or new",$U54,$T54)))</f>
        <v/>
      </c>
      <c r="X54" s="78" t="str">
        <f>IF($R54&lt;&gt;"OK","",ROUND(($F54*MAX(0,MIN(Setup!$C$13+1,(Setup!$C$5-Setup!$C$7))-Setup!$C$4)+$F54*Setup!$C$8*MAX(0,MIN(Setup!$C$13+1,Setup!$C$5)-MAX((Setup!$C$5-Setup!$C$7),Setup!$C$4))+$W54/4*MAX(0,MIN(Setup!$C$13+1,Setup!$C$5+4)-MAX(Setup!$C$5,Setup!$C$4))+$F54*Setup!$C$14*MAX(0,Setup!$C$13+1-MAX(Setup!$C$5+4,Setup!$C$4))),0))</f>
        <v/>
      </c>
      <c r="Y54" s="78" t="str">
        <f>IF($R54&lt;&gt;"OK","",ROUND($F54*Setup!$C$15,0))</f>
        <v/>
      </c>
      <c r="Z54" s="78" t="str">
        <f>IF($R54&lt;&gt;"OK","",IF(AND($L54&lt;&gt;"",$L54&gt;0),IF($M54&lt;=Setup!$C$13,$L54,0),0))</f>
        <v/>
      </c>
      <c r="AA54" s="78" t="str">
        <f>IF($R54&lt;&gt;"OK","",MAX(0,$X54+$Y54-$K54-$Z54))</f>
        <v/>
      </c>
      <c r="AB54" s="78" t="str">
        <f>IF($R54&lt;&gt;"OK","",IF($AA54=0,0,CEILING(MAX($AA54,IF($Q54="",0,$Q54)),IF(OR($P54="",$P54&lt;=0),1,$P54))))</f>
        <v/>
      </c>
      <c r="AC54" s="78" t="str">
        <f>IF($R54&lt;&gt;"OK","",$AB54*$D54)</f>
        <v/>
      </c>
      <c r="AD54" s="93" t="str">
        <f>IF($R54&lt;&gt;"OK","",INDEX(Setup!$D$25:$D$29,MATCH($O54,Setup!$B$25:$B$29,0)))</f>
        <v/>
      </c>
      <c r="AE54" s="93" t="str">
        <f>IF($R54&lt;&gt;"OK","",$AD54-$N54)</f>
        <v/>
      </c>
      <c r="AF54" s="79" t="str">
        <f>IF($R54&lt;&gt;"OK","",IF($AB54=0,"No order needed",IF($AE54&gt;=$AS54,"Order by the deadline",IF(AND($O54&lt;&gt;"Domestic",Setup!$D$27-$N54&gt;=$AS54),"Late by this mode: fly it",IF(Setup!$D$28-$N54&gt;=$AS54,"Late: Express courier only",IF($AG54&lt;Setup!$C$5,"Tight: lands before Black Friday",IF(AND($O54&lt;&gt;"Domestic",$AT54&lt;Setup!$C$5),"Tight: by Air lands before Black Friday",IF($AS54+$N54+Setup!$C$28+Setup!$C$11&lt;Setup!$C$5,"Tight: by Express lands before Black Friday","Too late: ration"))))))))</f>
        <v/>
      </c>
      <c r="AG54" s="93" t="str">
        <f>IF($R54&lt;&gt;"OK","",IF($AB54=0,"",$AS54+$N54+INDEX(Setup!$C$25:$C$29,MATCH($O54,Setup!$B$25:$B$29,0))+Setup!$C$11))</f>
        <v/>
      </c>
      <c r="AH54" s="93" t="str">
        <f>IF($R54&lt;&gt;"OK","",IF($F54&lt;=0,"",INT(IF($K54&lt;($F54*MAX(0,(Setup!$C$5-Setup!$C$7)-Setup!$C$4)),Setup!$C$4+$K54/$F54,IF($K54&lt;($F54*MAX(0,(Setup!$C$5-Setup!$C$7)-Setup!$C$4))+($F54*Setup!$C$8*MAX(0,Setup!$C$5-MAX((Setup!$C$5-Setup!$C$7),Setup!$C$4))),MAX((Setup!$C$5-Setup!$C$7),Setup!$C$4)+($K54-($F54*MAX(0,(Setup!$C$5-Setup!$C$7)-Setup!$C$4)))/($F54*Setup!$C$8),IF(AND($W54&gt;0,$K54&lt;($F54*MAX(0,(Setup!$C$5-Setup!$C$7)-Setup!$C$4))+($F54*Setup!$C$8*MAX(0,Setup!$C$5-MAX((Setup!$C$5-Setup!$C$7),Setup!$C$4)))+($W54/4*MAX(0,Setup!$C$5+4-MAX(Setup!$C$5,Setup!$C$4)))),MAX(Setup!$C$5,Setup!$C$4)+($K54-($F54*MAX(0,(Setup!$C$5-Setup!$C$7)-Setup!$C$4))-($F54*Setup!$C$8*MAX(0,Setup!$C$5-MAX((Setup!$C$5-Setup!$C$7),Setup!$C$4))))/($W54/4),MAX(Setup!$C$5+4,Setup!$C$4)+($K54-($F54*MAX(0,(Setup!$C$5-Setup!$C$7)-Setup!$C$4))-($F54*Setup!$C$8*MAX(0,Setup!$C$5-MAX((Setup!$C$5-Setup!$C$7),Setup!$C$4)))-($W54/4*MAX(0,Setup!$C$5+4-MAX(Setup!$C$5,Setup!$C$4))))/($F54*Setup!$C$14)))))))</f>
        <v/>
      </c>
      <c r="AI54" s="79" t="str">
        <f>IF($R54&lt;&gt;"OK","",IF(AND($L54&lt;&gt;"",$L54&gt;0,ISNUMBER($AH54),$M54&gt;$AH54),"Runs out before the incoming delivery arrives",IF($AB54=0,"OK",IF($K54+IF(AND($L54&lt;&gt;"",$L54&gt;0),IF($M54&lt;=$AG54,$L54,0),0)&lt;($F54*MAX(0,MIN($AG54,(Setup!$C$5-Setup!$C$7))-Setup!$C$4)+$F54*Setup!$C$8*MAX(0,MIN($AG54,Setup!$C$5)-MAX((Setup!$C$5-Setup!$C$7),Setup!$C$4))+$W54/4*MAX(0,MIN($AG54,Setup!$C$5+4)-MAX(Setup!$C$5,Setup!$C$4))+$F54*Setup!$C$14*MAX(0,$AG54-MAX(Setup!$C$5+4,Setup!$C$4))),"Runs out before this order can land","OK"))))</f>
        <v/>
      </c>
      <c r="AJ54" s="78" t="str">
        <f>IF($R54&lt;&gt;"OK","",IF($AB54=0,0,IF($AL54="Too slow: send it all fast",$AB54,$AR54)))</f>
        <v/>
      </c>
      <c r="AK54" s="78" t="str">
        <f>IF($R54&lt;&gt;"OK","",$AB54-$AJ54)</f>
        <v/>
      </c>
      <c r="AL54" s="78" t="str">
        <f>IF($R54&lt;&gt;"OK","",IF($AB54=0,"",IF($AB54-$AR54=0,"Nothing left over",IF($O54="Domestic",IF($AG54&lt;=Setup!$C$6+Setup!$C$20+1,"Later units can go by Domestic","Too slow: send it all fast"),IF($AS54+$N54+Setup!$C$25+Setup!$C$11&lt;=Setup!$C$6+Setup!$C$20+1,"Later units can go by Ocean long",IF($AS54+$N54+Setup!$C$26+Setup!$C$11&lt;=Setup!$C$6+Setup!$C$20+1,"Later units can go by Ocean short",IF($AS54+$N54+Setup!$C$27+Setup!$C$11&lt;=Setup!$C$6+Setup!$C$20+1,"Later units can go by Air",IF($AS54+$N54+Setup!$C$28+Setup!$C$11&lt;=Setup!$C$6+Setup!$C$20+1,"Later units can go by Express","Too slow: send it all fast"))))))))</f>
        <v/>
      </c>
      <c r="AM54" s="94" t="str">
        <f>IF($R54&lt;&gt;"OK","",$E54-$D54)</f>
        <v/>
      </c>
      <c r="AN54" s="95" t="str">
        <f>IF($R54&lt;&gt;"OK","",($E54-$D54)/$D54)</f>
        <v/>
      </c>
      <c r="AO54" s="95" t="str">
        <f>IF($R54&lt;&gt;"OK","",IF($AB54&gt;0,$AN54+IF($C54="Evergreen",1000,0),""))</f>
        <v/>
      </c>
      <c r="AP54" s="78" t="str">
        <f>IF(OR($R54&lt;&gt;"OK",$AO54=""),"",COUNTIF($AO$6:$AO$205,"&gt;"&amp;$AO54)+COUNTIF($AO$6:$AO54,$AO54))</f>
        <v/>
      </c>
      <c r="AQ54" s="78" t="str">
        <f>IF(OR($R54&lt;&gt;"OK",$AP54=""),"",INDEX('Buy list'!$G$5:$G$204,$AP54))</f>
        <v/>
      </c>
      <c r="AR54" s="78" t="str">
        <f>IF($R54&lt;&gt;"OK","",IF($AB54=0,0,MIN($AB54,CEILING(MAX(0,($F54*MAX(0,MIN((Setup!$C$6+1+Setup!$C$20),(Setup!$C$5-Setup!$C$7))-Setup!$C$4)+$F54*Setup!$C$8*MAX(0,MIN((Setup!$C$6+1+Setup!$C$20),Setup!$C$5)-MAX((Setup!$C$5-Setup!$C$7),Setup!$C$4))+$W54/4*MAX(0,MIN((Setup!$C$6+1+Setup!$C$20),Setup!$C$5+4)-MAX(Setup!$C$5,Setup!$C$4))+$F54*Setup!$C$14*MAX(0,(Setup!$C$6+1+Setup!$C$20)-MAX(Setup!$C$5+4,Setup!$C$4)))+$Y54-$K54-IF(AND($L54&lt;&gt;"",$L54&gt;0),IF($M54&lt;=Setup!$C$10,$L54,0),0)),IF(OR($P54="",$P54&lt;=0),1,$P54)))))</f>
        <v/>
      </c>
      <c r="AS54" s="96" t="str">
        <f>IF($R54&lt;&gt;"OK","",IF(AND($O54&lt;&gt;"Domestic",ISNUMBER(Setup!$C$22),Setup!$C$22&gt;Setup!$C$4),Setup!$C$22,Setup!$C$4))</f>
        <v/>
      </c>
      <c r="AT54" s="96" t="str">
        <f>IF($R54&lt;&gt;"OK","",IF($AB54=0,"",IF($O54="Domestic",$AG54,$AS54+$N54+Setup!$C$27+Setup!$C$11)))</f>
        <v/>
      </c>
    </row>
    <row r="55" ht="15" customHeight="1" s="46">
      <c r="A55" s="70" t="n"/>
      <c r="B55" s="70" t="n"/>
      <c r="C55" s="70" t="n"/>
      <c r="D55" s="85" t="n"/>
      <c r="E55" s="85" t="n"/>
      <c r="F55" s="86" t="n"/>
      <c r="G55" s="87" t="n"/>
      <c r="H55" s="88" t="n"/>
      <c r="I55" s="89" t="n"/>
      <c r="J55" s="90" t="n"/>
      <c r="K55" s="87" t="n"/>
      <c r="L55" s="87" t="n"/>
      <c r="M55" s="91" t="n"/>
      <c r="N55" s="92" t="n"/>
      <c r="O55" s="70" t="n"/>
      <c r="P55" s="92" t="n"/>
      <c r="Q55" s="87" t="n"/>
      <c r="R55" s="79" t="str">
        <f>IF($A55="","",IF($C55="","Missing: type",IF(OR($D55="",$D55&lt;=0),"Missing: unit cost",IF($E55="","Missing: unit price",IF($F55="","Missing: daily sales",IF($K55="","Missing: on hand",IF($N55="","Missing: production days",IF($O55="","Missing: freight mode",IF(ISNA(MATCH($O55,Setup!$B$25:$B$29,0)),"Unknown freight mode",IF(AND($L55&lt;&gt;"",$L55&gt;0,$M55=""),"Missing: on-order arrival date","OK"))))))))))</f>
        <v/>
      </c>
      <c r="S55" s="78" t="str">
        <f>IF($R55&lt;&gt;"OK","",IF($G55="","",ROUND($G55/IF(OR($H55="",$H55&lt;=0),4,$H55)*4,0)))</f>
        <v/>
      </c>
      <c r="T55" s="78" t="str">
        <f>IF($R55&lt;&gt;"OK","",ROUND(IF($G55="",$F55*4*Setup!$C$19,$G55/IF(OR($H55="",$H55&lt;=0),4,$H55)*4*(1+IF($I55="",Setup!$C$16,$I55)))*IF($J55="",1,$J55),0))</f>
        <v/>
      </c>
      <c r="U55" s="78" t="str">
        <f>IF($R55&lt;&gt;"OK","",ROUND($T55*Setup!$C$17,0))</f>
        <v/>
      </c>
      <c r="V55" s="78" t="str">
        <f>IF($R55&lt;&gt;"OK","",ROUND($T55*Setup!$C$18,0))</f>
        <v/>
      </c>
      <c r="W55" s="78" t="str">
        <f>IF($R55&lt;&gt;"OK","",IF($C55="Evergreen",$V55,IF($C55="Seasonal or new",$U55,$T55)))</f>
        <v/>
      </c>
      <c r="X55" s="78" t="str">
        <f>IF($R55&lt;&gt;"OK","",ROUND(($F55*MAX(0,MIN(Setup!$C$13+1,(Setup!$C$5-Setup!$C$7))-Setup!$C$4)+$F55*Setup!$C$8*MAX(0,MIN(Setup!$C$13+1,Setup!$C$5)-MAX((Setup!$C$5-Setup!$C$7),Setup!$C$4))+$W55/4*MAX(0,MIN(Setup!$C$13+1,Setup!$C$5+4)-MAX(Setup!$C$5,Setup!$C$4))+$F55*Setup!$C$14*MAX(0,Setup!$C$13+1-MAX(Setup!$C$5+4,Setup!$C$4))),0))</f>
        <v/>
      </c>
      <c r="Y55" s="78" t="str">
        <f>IF($R55&lt;&gt;"OK","",ROUND($F55*Setup!$C$15,0))</f>
        <v/>
      </c>
      <c r="Z55" s="78" t="str">
        <f>IF($R55&lt;&gt;"OK","",IF(AND($L55&lt;&gt;"",$L55&gt;0),IF($M55&lt;=Setup!$C$13,$L55,0),0))</f>
        <v/>
      </c>
      <c r="AA55" s="78" t="str">
        <f>IF($R55&lt;&gt;"OK","",MAX(0,$X55+$Y55-$K55-$Z55))</f>
        <v/>
      </c>
      <c r="AB55" s="78" t="str">
        <f>IF($R55&lt;&gt;"OK","",IF($AA55=0,0,CEILING(MAX($AA55,IF($Q55="",0,$Q55)),IF(OR($P55="",$P55&lt;=0),1,$P55))))</f>
        <v/>
      </c>
      <c r="AC55" s="78" t="str">
        <f>IF($R55&lt;&gt;"OK","",$AB55*$D55)</f>
        <v/>
      </c>
      <c r="AD55" s="93" t="str">
        <f>IF($R55&lt;&gt;"OK","",INDEX(Setup!$D$25:$D$29,MATCH($O55,Setup!$B$25:$B$29,0)))</f>
        <v/>
      </c>
      <c r="AE55" s="93" t="str">
        <f>IF($R55&lt;&gt;"OK","",$AD55-$N55)</f>
        <v/>
      </c>
      <c r="AF55" s="79" t="str">
        <f>IF($R55&lt;&gt;"OK","",IF($AB55=0,"No order needed",IF($AE55&gt;=$AS55,"Order by the deadline",IF(AND($O55&lt;&gt;"Domestic",Setup!$D$27-$N55&gt;=$AS55),"Late by this mode: fly it",IF(Setup!$D$28-$N55&gt;=$AS55,"Late: Express courier only",IF($AG55&lt;Setup!$C$5,"Tight: lands before Black Friday",IF(AND($O55&lt;&gt;"Domestic",$AT55&lt;Setup!$C$5),"Tight: by Air lands before Black Friday",IF($AS55+$N55+Setup!$C$28+Setup!$C$11&lt;Setup!$C$5,"Tight: by Express lands before Black Friday","Too late: ration"))))))))</f>
        <v/>
      </c>
      <c r="AG55" s="93" t="str">
        <f>IF($R55&lt;&gt;"OK","",IF($AB55=0,"",$AS55+$N55+INDEX(Setup!$C$25:$C$29,MATCH($O55,Setup!$B$25:$B$29,0))+Setup!$C$11))</f>
        <v/>
      </c>
      <c r="AH55" s="93" t="str">
        <f>IF($R55&lt;&gt;"OK","",IF($F55&lt;=0,"",INT(IF($K55&lt;($F55*MAX(0,(Setup!$C$5-Setup!$C$7)-Setup!$C$4)),Setup!$C$4+$K55/$F55,IF($K55&lt;($F55*MAX(0,(Setup!$C$5-Setup!$C$7)-Setup!$C$4))+($F55*Setup!$C$8*MAX(0,Setup!$C$5-MAX((Setup!$C$5-Setup!$C$7),Setup!$C$4))),MAX((Setup!$C$5-Setup!$C$7),Setup!$C$4)+($K55-($F55*MAX(0,(Setup!$C$5-Setup!$C$7)-Setup!$C$4)))/($F55*Setup!$C$8),IF(AND($W55&gt;0,$K55&lt;($F55*MAX(0,(Setup!$C$5-Setup!$C$7)-Setup!$C$4))+($F55*Setup!$C$8*MAX(0,Setup!$C$5-MAX((Setup!$C$5-Setup!$C$7),Setup!$C$4)))+($W55/4*MAX(0,Setup!$C$5+4-MAX(Setup!$C$5,Setup!$C$4)))),MAX(Setup!$C$5,Setup!$C$4)+($K55-($F55*MAX(0,(Setup!$C$5-Setup!$C$7)-Setup!$C$4))-($F55*Setup!$C$8*MAX(0,Setup!$C$5-MAX((Setup!$C$5-Setup!$C$7),Setup!$C$4))))/($W55/4),MAX(Setup!$C$5+4,Setup!$C$4)+($K55-($F55*MAX(0,(Setup!$C$5-Setup!$C$7)-Setup!$C$4))-($F55*Setup!$C$8*MAX(0,Setup!$C$5-MAX((Setup!$C$5-Setup!$C$7),Setup!$C$4)))-($W55/4*MAX(0,Setup!$C$5+4-MAX(Setup!$C$5,Setup!$C$4))))/($F55*Setup!$C$14)))))))</f>
        <v/>
      </c>
      <c r="AI55" s="79" t="str">
        <f>IF($R55&lt;&gt;"OK","",IF(AND($L55&lt;&gt;"",$L55&gt;0,ISNUMBER($AH55),$M55&gt;$AH55),"Runs out before the incoming delivery arrives",IF($AB55=0,"OK",IF($K55+IF(AND($L55&lt;&gt;"",$L55&gt;0),IF($M55&lt;=$AG55,$L55,0),0)&lt;($F55*MAX(0,MIN($AG55,(Setup!$C$5-Setup!$C$7))-Setup!$C$4)+$F55*Setup!$C$8*MAX(0,MIN($AG55,Setup!$C$5)-MAX((Setup!$C$5-Setup!$C$7),Setup!$C$4))+$W55/4*MAX(0,MIN($AG55,Setup!$C$5+4)-MAX(Setup!$C$5,Setup!$C$4))+$F55*Setup!$C$14*MAX(0,$AG55-MAX(Setup!$C$5+4,Setup!$C$4))),"Runs out before this order can land","OK"))))</f>
        <v/>
      </c>
      <c r="AJ55" s="78" t="str">
        <f>IF($R55&lt;&gt;"OK","",IF($AB55=0,0,IF($AL55="Too slow: send it all fast",$AB55,$AR55)))</f>
        <v/>
      </c>
      <c r="AK55" s="78" t="str">
        <f>IF($R55&lt;&gt;"OK","",$AB55-$AJ55)</f>
        <v/>
      </c>
      <c r="AL55" s="78" t="str">
        <f>IF($R55&lt;&gt;"OK","",IF($AB55=0,"",IF($AB55-$AR55=0,"Nothing left over",IF($O55="Domestic",IF($AG55&lt;=Setup!$C$6+Setup!$C$20+1,"Later units can go by Domestic","Too slow: send it all fast"),IF($AS55+$N55+Setup!$C$25+Setup!$C$11&lt;=Setup!$C$6+Setup!$C$20+1,"Later units can go by Ocean long",IF($AS55+$N55+Setup!$C$26+Setup!$C$11&lt;=Setup!$C$6+Setup!$C$20+1,"Later units can go by Ocean short",IF($AS55+$N55+Setup!$C$27+Setup!$C$11&lt;=Setup!$C$6+Setup!$C$20+1,"Later units can go by Air",IF($AS55+$N55+Setup!$C$28+Setup!$C$11&lt;=Setup!$C$6+Setup!$C$20+1,"Later units can go by Express","Too slow: send it all fast"))))))))</f>
        <v/>
      </c>
      <c r="AM55" s="94" t="str">
        <f>IF($R55&lt;&gt;"OK","",$E55-$D55)</f>
        <v/>
      </c>
      <c r="AN55" s="95" t="str">
        <f>IF($R55&lt;&gt;"OK","",($E55-$D55)/$D55)</f>
        <v/>
      </c>
      <c r="AO55" s="95" t="str">
        <f>IF($R55&lt;&gt;"OK","",IF($AB55&gt;0,$AN55+IF($C55="Evergreen",1000,0),""))</f>
        <v/>
      </c>
      <c r="AP55" s="78" t="str">
        <f>IF(OR($R55&lt;&gt;"OK",$AO55=""),"",COUNTIF($AO$6:$AO$205,"&gt;"&amp;$AO55)+COUNTIF($AO$6:$AO55,$AO55))</f>
        <v/>
      </c>
      <c r="AQ55" s="78" t="str">
        <f>IF(OR($R55&lt;&gt;"OK",$AP55=""),"",INDEX('Buy list'!$G$5:$G$204,$AP55))</f>
        <v/>
      </c>
      <c r="AR55" s="78" t="str">
        <f>IF($R55&lt;&gt;"OK","",IF($AB55=0,0,MIN($AB55,CEILING(MAX(0,($F55*MAX(0,MIN((Setup!$C$6+1+Setup!$C$20),(Setup!$C$5-Setup!$C$7))-Setup!$C$4)+$F55*Setup!$C$8*MAX(0,MIN((Setup!$C$6+1+Setup!$C$20),Setup!$C$5)-MAX((Setup!$C$5-Setup!$C$7),Setup!$C$4))+$W55/4*MAX(0,MIN((Setup!$C$6+1+Setup!$C$20),Setup!$C$5+4)-MAX(Setup!$C$5,Setup!$C$4))+$F55*Setup!$C$14*MAX(0,(Setup!$C$6+1+Setup!$C$20)-MAX(Setup!$C$5+4,Setup!$C$4)))+$Y55-$K55-IF(AND($L55&lt;&gt;"",$L55&gt;0),IF($M55&lt;=Setup!$C$10,$L55,0),0)),IF(OR($P55="",$P55&lt;=0),1,$P55)))))</f>
        <v/>
      </c>
      <c r="AS55" s="96" t="str">
        <f>IF($R55&lt;&gt;"OK","",IF(AND($O55&lt;&gt;"Domestic",ISNUMBER(Setup!$C$22),Setup!$C$22&gt;Setup!$C$4),Setup!$C$22,Setup!$C$4))</f>
        <v/>
      </c>
      <c r="AT55" s="96" t="str">
        <f>IF($R55&lt;&gt;"OK","",IF($AB55=0,"",IF($O55="Domestic",$AG55,$AS55+$N55+Setup!$C$27+Setup!$C$11)))</f>
        <v/>
      </c>
    </row>
    <row r="56" ht="15" customHeight="1" s="46">
      <c r="A56" s="70" t="n"/>
      <c r="B56" s="70" t="n"/>
      <c r="C56" s="70" t="n"/>
      <c r="D56" s="85" t="n"/>
      <c r="E56" s="85" t="n"/>
      <c r="F56" s="86" t="n"/>
      <c r="G56" s="87" t="n"/>
      <c r="H56" s="88" t="n"/>
      <c r="I56" s="89" t="n"/>
      <c r="J56" s="90" t="n"/>
      <c r="K56" s="87" t="n"/>
      <c r="L56" s="87" t="n"/>
      <c r="M56" s="91" t="n"/>
      <c r="N56" s="92" t="n"/>
      <c r="O56" s="70" t="n"/>
      <c r="P56" s="92" t="n"/>
      <c r="Q56" s="87" t="n"/>
      <c r="R56" s="79" t="str">
        <f>IF($A56="","",IF($C56="","Missing: type",IF(OR($D56="",$D56&lt;=0),"Missing: unit cost",IF($E56="","Missing: unit price",IF($F56="","Missing: daily sales",IF($K56="","Missing: on hand",IF($N56="","Missing: production days",IF($O56="","Missing: freight mode",IF(ISNA(MATCH($O56,Setup!$B$25:$B$29,0)),"Unknown freight mode",IF(AND($L56&lt;&gt;"",$L56&gt;0,$M56=""),"Missing: on-order arrival date","OK"))))))))))</f>
        <v/>
      </c>
      <c r="S56" s="78" t="str">
        <f>IF($R56&lt;&gt;"OK","",IF($G56="","",ROUND($G56/IF(OR($H56="",$H56&lt;=0),4,$H56)*4,0)))</f>
        <v/>
      </c>
      <c r="T56" s="78" t="str">
        <f>IF($R56&lt;&gt;"OK","",ROUND(IF($G56="",$F56*4*Setup!$C$19,$G56/IF(OR($H56="",$H56&lt;=0),4,$H56)*4*(1+IF($I56="",Setup!$C$16,$I56)))*IF($J56="",1,$J56),0))</f>
        <v/>
      </c>
      <c r="U56" s="78" t="str">
        <f>IF($R56&lt;&gt;"OK","",ROUND($T56*Setup!$C$17,0))</f>
        <v/>
      </c>
      <c r="V56" s="78" t="str">
        <f>IF($R56&lt;&gt;"OK","",ROUND($T56*Setup!$C$18,0))</f>
        <v/>
      </c>
      <c r="W56" s="78" t="str">
        <f>IF($R56&lt;&gt;"OK","",IF($C56="Evergreen",$V56,IF($C56="Seasonal or new",$U56,$T56)))</f>
        <v/>
      </c>
      <c r="X56" s="78" t="str">
        <f>IF($R56&lt;&gt;"OK","",ROUND(($F56*MAX(0,MIN(Setup!$C$13+1,(Setup!$C$5-Setup!$C$7))-Setup!$C$4)+$F56*Setup!$C$8*MAX(0,MIN(Setup!$C$13+1,Setup!$C$5)-MAX((Setup!$C$5-Setup!$C$7),Setup!$C$4))+$W56/4*MAX(0,MIN(Setup!$C$13+1,Setup!$C$5+4)-MAX(Setup!$C$5,Setup!$C$4))+$F56*Setup!$C$14*MAX(0,Setup!$C$13+1-MAX(Setup!$C$5+4,Setup!$C$4))),0))</f>
        <v/>
      </c>
      <c r="Y56" s="78" t="str">
        <f>IF($R56&lt;&gt;"OK","",ROUND($F56*Setup!$C$15,0))</f>
        <v/>
      </c>
      <c r="Z56" s="78" t="str">
        <f>IF($R56&lt;&gt;"OK","",IF(AND($L56&lt;&gt;"",$L56&gt;0),IF($M56&lt;=Setup!$C$13,$L56,0),0))</f>
        <v/>
      </c>
      <c r="AA56" s="78" t="str">
        <f>IF($R56&lt;&gt;"OK","",MAX(0,$X56+$Y56-$K56-$Z56))</f>
        <v/>
      </c>
      <c r="AB56" s="78" t="str">
        <f>IF($R56&lt;&gt;"OK","",IF($AA56=0,0,CEILING(MAX($AA56,IF($Q56="",0,$Q56)),IF(OR($P56="",$P56&lt;=0),1,$P56))))</f>
        <v/>
      </c>
      <c r="AC56" s="78" t="str">
        <f>IF($R56&lt;&gt;"OK","",$AB56*$D56)</f>
        <v/>
      </c>
      <c r="AD56" s="93" t="str">
        <f>IF($R56&lt;&gt;"OK","",INDEX(Setup!$D$25:$D$29,MATCH($O56,Setup!$B$25:$B$29,0)))</f>
        <v/>
      </c>
      <c r="AE56" s="93" t="str">
        <f>IF($R56&lt;&gt;"OK","",$AD56-$N56)</f>
        <v/>
      </c>
      <c r="AF56" s="79" t="str">
        <f>IF($R56&lt;&gt;"OK","",IF($AB56=0,"No order needed",IF($AE56&gt;=$AS56,"Order by the deadline",IF(AND($O56&lt;&gt;"Domestic",Setup!$D$27-$N56&gt;=$AS56),"Late by this mode: fly it",IF(Setup!$D$28-$N56&gt;=$AS56,"Late: Express courier only",IF($AG56&lt;Setup!$C$5,"Tight: lands before Black Friday",IF(AND($O56&lt;&gt;"Domestic",$AT56&lt;Setup!$C$5),"Tight: by Air lands before Black Friday",IF($AS56+$N56+Setup!$C$28+Setup!$C$11&lt;Setup!$C$5,"Tight: by Express lands before Black Friday","Too late: ration"))))))))</f>
        <v/>
      </c>
      <c r="AG56" s="93" t="str">
        <f>IF($R56&lt;&gt;"OK","",IF($AB56=0,"",$AS56+$N56+INDEX(Setup!$C$25:$C$29,MATCH($O56,Setup!$B$25:$B$29,0))+Setup!$C$11))</f>
        <v/>
      </c>
      <c r="AH56" s="93" t="str">
        <f>IF($R56&lt;&gt;"OK","",IF($F56&lt;=0,"",INT(IF($K56&lt;($F56*MAX(0,(Setup!$C$5-Setup!$C$7)-Setup!$C$4)),Setup!$C$4+$K56/$F56,IF($K56&lt;($F56*MAX(0,(Setup!$C$5-Setup!$C$7)-Setup!$C$4))+($F56*Setup!$C$8*MAX(0,Setup!$C$5-MAX((Setup!$C$5-Setup!$C$7),Setup!$C$4))),MAX((Setup!$C$5-Setup!$C$7),Setup!$C$4)+($K56-($F56*MAX(0,(Setup!$C$5-Setup!$C$7)-Setup!$C$4)))/($F56*Setup!$C$8),IF(AND($W56&gt;0,$K56&lt;($F56*MAX(0,(Setup!$C$5-Setup!$C$7)-Setup!$C$4))+($F56*Setup!$C$8*MAX(0,Setup!$C$5-MAX((Setup!$C$5-Setup!$C$7),Setup!$C$4)))+($W56/4*MAX(0,Setup!$C$5+4-MAX(Setup!$C$5,Setup!$C$4)))),MAX(Setup!$C$5,Setup!$C$4)+($K56-($F56*MAX(0,(Setup!$C$5-Setup!$C$7)-Setup!$C$4))-($F56*Setup!$C$8*MAX(0,Setup!$C$5-MAX((Setup!$C$5-Setup!$C$7),Setup!$C$4))))/($W56/4),MAX(Setup!$C$5+4,Setup!$C$4)+($K56-($F56*MAX(0,(Setup!$C$5-Setup!$C$7)-Setup!$C$4))-($F56*Setup!$C$8*MAX(0,Setup!$C$5-MAX((Setup!$C$5-Setup!$C$7),Setup!$C$4)))-($W56/4*MAX(0,Setup!$C$5+4-MAX(Setup!$C$5,Setup!$C$4))))/($F56*Setup!$C$14)))))))</f>
        <v/>
      </c>
      <c r="AI56" s="79" t="str">
        <f>IF($R56&lt;&gt;"OK","",IF(AND($L56&lt;&gt;"",$L56&gt;0,ISNUMBER($AH56),$M56&gt;$AH56),"Runs out before the incoming delivery arrives",IF($AB56=0,"OK",IF($K56+IF(AND($L56&lt;&gt;"",$L56&gt;0),IF($M56&lt;=$AG56,$L56,0),0)&lt;($F56*MAX(0,MIN($AG56,(Setup!$C$5-Setup!$C$7))-Setup!$C$4)+$F56*Setup!$C$8*MAX(0,MIN($AG56,Setup!$C$5)-MAX((Setup!$C$5-Setup!$C$7),Setup!$C$4))+$W56/4*MAX(0,MIN($AG56,Setup!$C$5+4)-MAX(Setup!$C$5,Setup!$C$4))+$F56*Setup!$C$14*MAX(0,$AG56-MAX(Setup!$C$5+4,Setup!$C$4))),"Runs out before this order can land","OK"))))</f>
        <v/>
      </c>
      <c r="AJ56" s="78" t="str">
        <f>IF($R56&lt;&gt;"OK","",IF($AB56=0,0,IF($AL56="Too slow: send it all fast",$AB56,$AR56)))</f>
        <v/>
      </c>
      <c r="AK56" s="78" t="str">
        <f>IF($R56&lt;&gt;"OK","",$AB56-$AJ56)</f>
        <v/>
      </c>
      <c r="AL56" s="78" t="str">
        <f>IF($R56&lt;&gt;"OK","",IF($AB56=0,"",IF($AB56-$AR56=0,"Nothing left over",IF($O56="Domestic",IF($AG56&lt;=Setup!$C$6+Setup!$C$20+1,"Later units can go by Domestic","Too slow: send it all fast"),IF($AS56+$N56+Setup!$C$25+Setup!$C$11&lt;=Setup!$C$6+Setup!$C$20+1,"Later units can go by Ocean long",IF($AS56+$N56+Setup!$C$26+Setup!$C$11&lt;=Setup!$C$6+Setup!$C$20+1,"Later units can go by Ocean short",IF($AS56+$N56+Setup!$C$27+Setup!$C$11&lt;=Setup!$C$6+Setup!$C$20+1,"Later units can go by Air",IF($AS56+$N56+Setup!$C$28+Setup!$C$11&lt;=Setup!$C$6+Setup!$C$20+1,"Later units can go by Express","Too slow: send it all fast"))))))))</f>
        <v/>
      </c>
      <c r="AM56" s="94" t="str">
        <f>IF($R56&lt;&gt;"OK","",$E56-$D56)</f>
        <v/>
      </c>
      <c r="AN56" s="95" t="str">
        <f>IF($R56&lt;&gt;"OK","",($E56-$D56)/$D56)</f>
        <v/>
      </c>
      <c r="AO56" s="95" t="str">
        <f>IF($R56&lt;&gt;"OK","",IF($AB56&gt;0,$AN56+IF($C56="Evergreen",1000,0),""))</f>
        <v/>
      </c>
      <c r="AP56" s="78" t="str">
        <f>IF(OR($R56&lt;&gt;"OK",$AO56=""),"",COUNTIF($AO$6:$AO$205,"&gt;"&amp;$AO56)+COUNTIF($AO$6:$AO56,$AO56))</f>
        <v/>
      </c>
      <c r="AQ56" s="78" t="str">
        <f>IF(OR($R56&lt;&gt;"OK",$AP56=""),"",INDEX('Buy list'!$G$5:$G$204,$AP56))</f>
        <v/>
      </c>
      <c r="AR56" s="78" t="str">
        <f>IF($R56&lt;&gt;"OK","",IF($AB56=0,0,MIN($AB56,CEILING(MAX(0,($F56*MAX(0,MIN((Setup!$C$6+1+Setup!$C$20),(Setup!$C$5-Setup!$C$7))-Setup!$C$4)+$F56*Setup!$C$8*MAX(0,MIN((Setup!$C$6+1+Setup!$C$20),Setup!$C$5)-MAX((Setup!$C$5-Setup!$C$7),Setup!$C$4))+$W56/4*MAX(0,MIN((Setup!$C$6+1+Setup!$C$20),Setup!$C$5+4)-MAX(Setup!$C$5,Setup!$C$4))+$F56*Setup!$C$14*MAX(0,(Setup!$C$6+1+Setup!$C$20)-MAX(Setup!$C$5+4,Setup!$C$4)))+$Y56-$K56-IF(AND($L56&lt;&gt;"",$L56&gt;0),IF($M56&lt;=Setup!$C$10,$L56,0),0)),IF(OR($P56="",$P56&lt;=0),1,$P56)))))</f>
        <v/>
      </c>
      <c r="AS56" s="96" t="str">
        <f>IF($R56&lt;&gt;"OK","",IF(AND($O56&lt;&gt;"Domestic",ISNUMBER(Setup!$C$22),Setup!$C$22&gt;Setup!$C$4),Setup!$C$22,Setup!$C$4))</f>
        <v/>
      </c>
      <c r="AT56" s="96" t="str">
        <f>IF($R56&lt;&gt;"OK","",IF($AB56=0,"",IF($O56="Domestic",$AG56,$AS56+$N56+Setup!$C$27+Setup!$C$11)))</f>
        <v/>
      </c>
    </row>
    <row r="57" ht="15" customHeight="1" s="46">
      <c r="A57" s="70" t="n"/>
      <c r="B57" s="70" t="n"/>
      <c r="C57" s="70" t="n"/>
      <c r="D57" s="85" t="n"/>
      <c r="E57" s="85" t="n"/>
      <c r="F57" s="86" t="n"/>
      <c r="G57" s="87" t="n"/>
      <c r="H57" s="88" t="n"/>
      <c r="I57" s="89" t="n"/>
      <c r="J57" s="90" t="n"/>
      <c r="K57" s="87" t="n"/>
      <c r="L57" s="87" t="n"/>
      <c r="M57" s="91" t="n"/>
      <c r="N57" s="92" t="n"/>
      <c r="O57" s="70" t="n"/>
      <c r="P57" s="92" t="n"/>
      <c r="Q57" s="87" t="n"/>
      <c r="R57" s="79" t="str">
        <f>IF($A57="","",IF($C57="","Missing: type",IF(OR($D57="",$D57&lt;=0),"Missing: unit cost",IF($E57="","Missing: unit price",IF($F57="","Missing: daily sales",IF($K57="","Missing: on hand",IF($N57="","Missing: production days",IF($O57="","Missing: freight mode",IF(ISNA(MATCH($O57,Setup!$B$25:$B$29,0)),"Unknown freight mode",IF(AND($L57&lt;&gt;"",$L57&gt;0,$M57=""),"Missing: on-order arrival date","OK"))))))))))</f>
        <v/>
      </c>
      <c r="S57" s="78" t="str">
        <f>IF($R57&lt;&gt;"OK","",IF($G57="","",ROUND($G57/IF(OR($H57="",$H57&lt;=0),4,$H57)*4,0)))</f>
        <v/>
      </c>
      <c r="T57" s="78" t="str">
        <f>IF($R57&lt;&gt;"OK","",ROUND(IF($G57="",$F57*4*Setup!$C$19,$G57/IF(OR($H57="",$H57&lt;=0),4,$H57)*4*(1+IF($I57="",Setup!$C$16,$I57)))*IF($J57="",1,$J57),0))</f>
        <v/>
      </c>
      <c r="U57" s="78" t="str">
        <f>IF($R57&lt;&gt;"OK","",ROUND($T57*Setup!$C$17,0))</f>
        <v/>
      </c>
      <c r="V57" s="78" t="str">
        <f>IF($R57&lt;&gt;"OK","",ROUND($T57*Setup!$C$18,0))</f>
        <v/>
      </c>
      <c r="W57" s="78" t="str">
        <f>IF($R57&lt;&gt;"OK","",IF($C57="Evergreen",$V57,IF($C57="Seasonal or new",$U57,$T57)))</f>
        <v/>
      </c>
      <c r="X57" s="78" t="str">
        <f>IF($R57&lt;&gt;"OK","",ROUND(($F57*MAX(0,MIN(Setup!$C$13+1,(Setup!$C$5-Setup!$C$7))-Setup!$C$4)+$F57*Setup!$C$8*MAX(0,MIN(Setup!$C$13+1,Setup!$C$5)-MAX((Setup!$C$5-Setup!$C$7),Setup!$C$4))+$W57/4*MAX(0,MIN(Setup!$C$13+1,Setup!$C$5+4)-MAX(Setup!$C$5,Setup!$C$4))+$F57*Setup!$C$14*MAX(0,Setup!$C$13+1-MAX(Setup!$C$5+4,Setup!$C$4))),0))</f>
        <v/>
      </c>
      <c r="Y57" s="78" t="str">
        <f>IF($R57&lt;&gt;"OK","",ROUND($F57*Setup!$C$15,0))</f>
        <v/>
      </c>
      <c r="Z57" s="78" t="str">
        <f>IF($R57&lt;&gt;"OK","",IF(AND($L57&lt;&gt;"",$L57&gt;0),IF($M57&lt;=Setup!$C$13,$L57,0),0))</f>
        <v/>
      </c>
      <c r="AA57" s="78" t="str">
        <f>IF($R57&lt;&gt;"OK","",MAX(0,$X57+$Y57-$K57-$Z57))</f>
        <v/>
      </c>
      <c r="AB57" s="78" t="str">
        <f>IF($R57&lt;&gt;"OK","",IF($AA57=0,0,CEILING(MAX($AA57,IF($Q57="",0,$Q57)),IF(OR($P57="",$P57&lt;=0),1,$P57))))</f>
        <v/>
      </c>
      <c r="AC57" s="78" t="str">
        <f>IF($R57&lt;&gt;"OK","",$AB57*$D57)</f>
        <v/>
      </c>
      <c r="AD57" s="93" t="str">
        <f>IF($R57&lt;&gt;"OK","",INDEX(Setup!$D$25:$D$29,MATCH($O57,Setup!$B$25:$B$29,0)))</f>
        <v/>
      </c>
      <c r="AE57" s="93" t="str">
        <f>IF($R57&lt;&gt;"OK","",$AD57-$N57)</f>
        <v/>
      </c>
      <c r="AF57" s="79" t="str">
        <f>IF($R57&lt;&gt;"OK","",IF($AB57=0,"No order needed",IF($AE57&gt;=$AS57,"Order by the deadline",IF(AND($O57&lt;&gt;"Domestic",Setup!$D$27-$N57&gt;=$AS57),"Late by this mode: fly it",IF(Setup!$D$28-$N57&gt;=$AS57,"Late: Express courier only",IF($AG57&lt;Setup!$C$5,"Tight: lands before Black Friday",IF(AND($O57&lt;&gt;"Domestic",$AT57&lt;Setup!$C$5),"Tight: by Air lands before Black Friday",IF($AS57+$N57+Setup!$C$28+Setup!$C$11&lt;Setup!$C$5,"Tight: by Express lands before Black Friday","Too late: ration"))))))))</f>
        <v/>
      </c>
      <c r="AG57" s="93" t="str">
        <f>IF($R57&lt;&gt;"OK","",IF($AB57=0,"",$AS57+$N57+INDEX(Setup!$C$25:$C$29,MATCH($O57,Setup!$B$25:$B$29,0))+Setup!$C$11))</f>
        <v/>
      </c>
      <c r="AH57" s="93" t="str">
        <f>IF($R57&lt;&gt;"OK","",IF($F57&lt;=0,"",INT(IF($K57&lt;($F57*MAX(0,(Setup!$C$5-Setup!$C$7)-Setup!$C$4)),Setup!$C$4+$K57/$F57,IF($K57&lt;($F57*MAX(0,(Setup!$C$5-Setup!$C$7)-Setup!$C$4))+($F57*Setup!$C$8*MAX(0,Setup!$C$5-MAX((Setup!$C$5-Setup!$C$7),Setup!$C$4))),MAX((Setup!$C$5-Setup!$C$7),Setup!$C$4)+($K57-($F57*MAX(0,(Setup!$C$5-Setup!$C$7)-Setup!$C$4)))/($F57*Setup!$C$8),IF(AND($W57&gt;0,$K57&lt;($F57*MAX(0,(Setup!$C$5-Setup!$C$7)-Setup!$C$4))+($F57*Setup!$C$8*MAX(0,Setup!$C$5-MAX((Setup!$C$5-Setup!$C$7),Setup!$C$4)))+($W57/4*MAX(0,Setup!$C$5+4-MAX(Setup!$C$5,Setup!$C$4)))),MAX(Setup!$C$5,Setup!$C$4)+($K57-($F57*MAX(0,(Setup!$C$5-Setup!$C$7)-Setup!$C$4))-($F57*Setup!$C$8*MAX(0,Setup!$C$5-MAX((Setup!$C$5-Setup!$C$7),Setup!$C$4))))/($W57/4),MAX(Setup!$C$5+4,Setup!$C$4)+($K57-($F57*MAX(0,(Setup!$C$5-Setup!$C$7)-Setup!$C$4))-($F57*Setup!$C$8*MAX(0,Setup!$C$5-MAX((Setup!$C$5-Setup!$C$7),Setup!$C$4)))-($W57/4*MAX(0,Setup!$C$5+4-MAX(Setup!$C$5,Setup!$C$4))))/($F57*Setup!$C$14)))))))</f>
        <v/>
      </c>
      <c r="AI57" s="79" t="str">
        <f>IF($R57&lt;&gt;"OK","",IF(AND($L57&lt;&gt;"",$L57&gt;0,ISNUMBER($AH57),$M57&gt;$AH57),"Runs out before the incoming delivery arrives",IF($AB57=0,"OK",IF($K57+IF(AND($L57&lt;&gt;"",$L57&gt;0),IF($M57&lt;=$AG57,$L57,0),0)&lt;($F57*MAX(0,MIN($AG57,(Setup!$C$5-Setup!$C$7))-Setup!$C$4)+$F57*Setup!$C$8*MAX(0,MIN($AG57,Setup!$C$5)-MAX((Setup!$C$5-Setup!$C$7),Setup!$C$4))+$W57/4*MAX(0,MIN($AG57,Setup!$C$5+4)-MAX(Setup!$C$5,Setup!$C$4))+$F57*Setup!$C$14*MAX(0,$AG57-MAX(Setup!$C$5+4,Setup!$C$4))),"Runs out before this order can land","OK"))))</f>
        <v/>
      </c>
      <c r="AJ57" s="78" t="str">
        <f>IF($R57&lt;&gt;"OK","",IF($AB57=0,0,IF($AL57="Too slow: send it all fast",$AB57,$AR57)))</f>
        <v/>
      </c>
      <c r="AK57" s="78" t="str">
        <f>IF($R57&lt;&gt;"OK","",$AB57-$AJ57)</f>
        <v/>
      </c>
      <c r="AL57" s="78" t="str">
        <f>IF($R57&lt;&gt;"OK","",IF($AB57=0,"",IF($AB57-$AR57=0,"Nothing left over",IF($O57="Domestic",IF($AG57&lt;=Setup!$C$6+Setup!$C$20+1,"Later units can go by Domestic","Too slow: send it all fast"),IF($AS57+$N57+Setup!$C$25+Setup!$C$11&lt;=Setup!$C$6+Setup!$C$20+1,"Later units can go by Ocean long",IF($AS57+$N57+Setup!$C$26+Setup!$C$11&lt;=Setup!$C$6+Setup!$C$20+1,"Later units can go by Ocean short",IF($AS57+$N57+Setup!$C$27+Setup!$C$11&lt;=Setup!$C$6+Setup!$C$20+1,"Later units can go by Air",IF($AS57+$N57+Setup!$C$28+Setup!$C$11&lt;=Setup!$C$6+Setup!$C$20+1,"Later units can go by Express","Too slow: send it all fast"))))))))</f>
        <v/>
      </c>
      <c r="AM57" s="94" t="str">
        <f>IF($R57&lt;&gt;"OK","",$E57-$D57)</f>
        <v/>
      </c>
      <c r="AN57" s="95" t="str">
        <f>IF($R57&lt;&gt;"OK","",($E57-$D57)/$D57)</f>
        <v/>
      </c>
      <c r="AO57" s="95" t="str">
        <f>IF($R57&lt;&gt;"OK","",IF($AB57&gt;0,$AN57+IF($C57="Evergreen",1000,0),""))</f>
        <v/>
      </c>
      <c r="AP57" s="78" t="str">
        <f>IF(OR($R57&lt;&gt;"OK",$AO57=""),"",COUNTIF($AO$6:$AO$205,"&gt;"&amp;$AO57)+COUNTIF($AO$6:$AO57,$AO57))</f>
        <v/>
      </c>
      <c r="AQ57" s="78" t="str">
        <f>IF(OR($R57&lt;&gt;"OK",$AP57=""),"",INDEX('Buy list'!$G$5:$G$204,$AP57))</f>
        <v/>
      </c>
      <c r="AR57" s="78" t="str">
        <f>IF($R57&lt;&gt;"OK","",IF($AB57=0,0,MIN($AB57,CEILING(MAX(0,($F57*MAX(0,MIN((Setup!$C$6+1+Setup!$C$20),(Setup!$C$5-Setup!$C$7))-Setup!$C$4)+$F57*Setup!$C$8*MAX(0,MIN((Setup!$C$6+1+Setup!$C$20),Setup!$C$5)-MAX((Setup!$C$5-Setup!$C$7),Setup!$C$4))+$W57/4*MAX(0,MIN((Setup!$C$6+1+Setup!$C$20),Setup!$C$5+4)-MAX(Setup!$C$5,Setup!$C$4))+$F57*Setup!$C$14*MAX(0,(Setup!$C$6+1+Setup!$C$20)-MAX(Setup!$C$5+4,Setup!$C$4)))+$Y57-$K57-IF(AND($L57&lt;&gt;"",$L57&gt;0),IF($M57&lt;=Setup!$C$10,$L57,0),0)),IF(OR($P57="",$P57&lt;=0),1,$P57)))))</f>
        <v/>
      </c>
      <c r="AS57" s="96" t="str">
        <f>IF($R57&lt;&gt;"OK","",IF(AND($O57&lt;&gt;"Domestic",ISNUMBER(Setup!$C$22),Setup!$C$22&gt;Setup!$C$4),Setup!$C$22,Setup!$C$4))</f>
        <v/>
      </c>
      <c r="AT57" s="96" t="str">
        <f>IF($R57&lt;&gt;"OK","",IF($AB57=0,"",IF($O57="Domestic",$AG57,$AS57+$N57+Setup!$C$27+Setup!$C$11)))</f>
        <v/>
      </c>
    </row>
    <row r="58" ht="15" customHeight="1" s="46">
      <c r="A58" s="70" t="n"/>
      <c r="B58" s="70" t="n"/>
      <c r="C58" s="70" t="n"/>
      <c r="D58" s="85" t="n"/>
      <c r="E58" s="85" t="n"/>
      <c r="F58" s="86" t="n"/>
      <c r="G58" s="87" t="n"/>
      <c r="H58" s="88" t="n"/>
      <c r="I58" s="89" t="n"/>
      <c r="J58" s="90" t="n"/>
      <c r="K58" s="87" t="n"/>
      <c r="L58" s="87" t="n"/>
      <c r="M58" s="91" t="n"/>
      <c r="N58" s="92" t="n"/>
      <c r="O58" s="70" t="n"/>
      <c r="P58" s="92" t="n"/>
      <c r="Q58" s="87" t="n"/>
      <c r="R58" s="79" t="str">
        <f>IF($A58="","",IF($C58="","Missing: type",IF(OR($D58="",$D58&lt;=0),"Missing: unit cost",IF($E58="","Missing: unit price",IF($F58="","Missing: daily sales",IF($K58="","Missing: on hand",IF($N58="","Missing: production days",IF($O58="","Missing: freight mode",IF(ISNA(MATCH($O58,Setup!$B$25:$B$29,0)),"Unknown freight mode",IF(AND($L58&lt;&gt;"",$L58&gt;0,$M58=""),"Missing: on-order arrival date","OK"))))))))))</f>
        <v/>
      </c>
      <c r="S58" s="78" t="str">
        <f>IF($R58&lt;&gt;"OK","",IF($G58="","",ROUND($G58/IF(OR($H58="",$H58&lt;=0),4,$H58)*4,0)))</f>
        <v/>
      </c>
      <c r="T58" s="78" t="str">
        <f>IF($R58&lt;&gt;"OK","",ROUND(IF($G58="",$F58*4*Setup!$C$19,$G58/IF(OR($H58="",$H58&lt;=0),4,$H58)*4*(1+IF($I58="",Setup!$C$16,$I58)))*IF($J58="",1,$J58),0))</f>
        <v/>
      </c>
      <c r="U58" s="78" t="str">
        <f>IF($R58&lt;&gt;"OK","",ROUND($T58*Setup!$C$17,0))</f>
        <v/>
      </c>
      <c r="V58" s="78" t="str">
        <f>IF($R58&lt;&gt;"OK","",ROUND($T58*Setup!$C$18,0))</f>
        <v/>
      </c>
      <c r="W58" s="78" t="str">
        <f>IF($R58&lt;&gt;"OK","",IF($C58="Evergreen",$V58,IF($C58="Seasonal or new",$U58,$T58)))</f>
        <v/>
      </c>
      <c r="X58" s="78" t="str">
        <f>IF($R58&lt;&gt;"OK","",ROUND(($F58*MAX(0,MIN(Setup!$C$13+1,(Setup!$C$5-Setup!$C$7))-Setup!$C$4)+$F58*Setup!$C$8*MAX(0,MIN(Setup!$C$13+1,Setup!$C$5)-MAX((Setup!$C$5-Setup!$C$7),Setup!$C$4))+$W58/4*MAX(0,MIN(Setup!$C$13+1,Setup!$C$5+4)-MAX(Setup!$C$5,Setup!$C$4))+$F58*Setup!$C$14*MAX(0,Setup!$C$13+1-MAX(Setup!$C$5+4,Setup!$C$4))),0))</f>
        <v/>
      </c>
      <c r="Y58" s="78" t="str">
        <f>IF($R58&lt;&gt;"OK","",ROUND($F58*Setup!$C$15,0))</f>
        <v/>
      </c>
      <c r="Z58" s="78" t="str">
        <f>IF($R58&lt;&gt;"OK","",IF(AND($L58&lt;&gt;"",$L58&gt;0),IF($M58&lt;=Setup!$C$13,$L58,0),0))</f>
        <v/>
      </c>
      <c r="AA58" s="78" t="str">
        <f>IF($R58&lt;&gt;"OK","",MAX(0,$X58+$Y58-$K58-$Z58))</f>
        <v/>
      </c>
      <c r="AB58" s="78" t="str">
        <f>IF($R58&lt;&gt;"OK","",IF($AA58=0,0,CEILING(MAX($AA58,IF($Q58="",0,$Q58)),IF(OR($P58="",$P58&lt;=0),1,$P58))))</f>
        <v/>
      </c>
      <c r="AC58" s="78" t="str">
        <f>IF($R58&lt;&gt;"OK","",$AB58*$D58)</f>
        <v/>
      </c>
      <c r="AD58" s="93" t="str">
        <f>IF($R58&lt;&gt;"OK","",INDEX(Setup!$D$25:$D$29,MATCH($O58,Setup!$B$25:$B$29,0)))</f>
        <v/>
      </c>
      <c r="AE58" s="93" t="str">
        <f>IF($R58&lt;&gt;"OK","",$AD58-$N58)</f>
        <v/>
      </c>
      <c r="AF58" s="79" t="str">
        <f>IF($R58&lt;&gt;"OK","",IF($AB58=0,"No order needed",IF($AE58&gt;=$AS58,"Order by the deadline",IF(AND($O58&lt;&gt;"Domestic",Setup!$D$27-$N58&gt;=$AS58),"Late by this mode: fly it",IF(Setup!$D$28-$N58&gt;=$AS58,"Late: Express courier only",IF($AG58&lt;Setup!$C$5,"Tight: lands before Black Friday",IF(AND($O58&lt;&gt;"Domestic",$AT58&lt;Setup!$C$5),"Tight: by Air lands before Black Friday",IF($AS58+$N58+Setup!$C$28+Setup!$C$11&lt;Setup!$C$5,"Tight: by Express lands before Black Friday","Too late: ration"))))))))</f>
        <v/>
      </c>
      <c r="AG58" s="93" t="str">
        <f>IF($R58&lt;&gt;"OK","",IF($AB58=0,"",$AS58+$N58+INDEX(Setup!$C$25:$C$29,MATCH($O58,Setup!$B$25:$B$29,0))+Setup!$C$11))</f>
        <v/>
      </c>
      <c r="AH58" s="93" t="str">
        <f>IF($R58&lt;&gt;"OK","",IF($F58&lt;=0,"",INT(IF($K58&lt;($F58*MAX(0,(Setup!$C$5-Setup!$C$7)-Setup!$C$4)),Setup!$C$4+$K58/$F58,IF($K58&lt;($F58*MAX(0,(Setup!$C$5-Setup!$C$7)-Setup!$C$4))+($F58*Setup!$C$8*MAX(0,Setup!$C$5-MAX((Setup!$C$5-Setup!$C$7),Setup!$C$4))),MAX((Setup!$C$5-Setup!$C$7),Setup!$C$4)+($K58-($F58*MAX(0,(Setup!$C$5-Setup!$C$7)-Setup!$C$4)))/($F58*Setup!$C$8),IF(AND($W58&gt;0,$K58&lt;($F58*MAX(0,(Setup!$C$5-Setup!$C$7)-Setup!$C$4))+($F58*Setup!$C$8*MAX(0,Setup!$C$5-MAX((Setup!$C$5-Setup!$C$7),Setup!$C$4)))+($W58/4*MAX(0,Setup!$C$5+4-MAX(Setup!$C$5,Setup!$C$4)))),MAX(Setup!$C$5,Setup!$C$4)+($K58-($F58*MAX(0,(Setup!$C$5-Setup!$C$7)-Setup!$C$4))-($F58*Setup!$C$8*MAX(0,Setup!$C$5-MAX((Setup!$C$5-Setup!$C$7),Setup!$C$4))))/($W58/4),MAX(Setup!$C$5+4,Setup!$C$4)+($K58-($F58*MAX(0,(Setup!$C$5-Setup!$C$7)-Setup!$C$4))-($F58*Setup!$C$8*MAX(0,Setup!$C$5-MAX((Setup!$C$5-Setup!$C$7),Setup!$C$4)))-($W58/4*MAX(0,Setup!$C$5+4-MAX(Setup!$C$5,Setup!$C$4))))/($F58*Setup!$C$14)))))))</f>
        <v/>
      </c>
      <c r="AI58" s="79" t="str">
        <f>IF($R58&lt;&gt;"OK","",IF(AND($L58&lt;&gt;"",$L58&gt;0,ISNUMBER($AH58),$M58&gt;$AH58),"Runs out before the incoming delivery arrives",IF($AB58=0,"OK",IF($K58+IF(AND($L58&lt;&gt;"",$L58&gt;0),IF($M58&lt;=$AG58,$L58,0),0)&lt;($F58*MAX(0,MIN($AG58,(Setup!$C$5-Setup!$C$7))-Setup!$C$4)+$F58*Setup!$C$8*MAX(0,MIN($AG58,Setup!$C$5)-MAX((Setup!$C$5-Setup!$C$7),Setup!$C$4))+$W58/4*MAX(0,MIN($AG58,Setup!$C$5+4)-MAX(Setup!$C$5,Setup!$C$4))+$F58*Setup!$C$14*MAX(0,$AG58-MAX(Setup!$C$5+4,Setup!$C$4))),"Runs out before this order can land","OK"))))</f>
        <v/>
      </c>
      <c r="AJ58" s="78" t="str">
        <f>IF($R58&lt;&gt;"OK","",IF($AB58=0,0,IF($AL58="Too slow: send it all fast",$AB58,$AR58)))</f>
        <v/>
      </c>
      <c r="AK58" s="78" t="str">
        <f>IF($R58&lt;&gt;"OK","",$AB58-$AJ58)</f>
        <v/>
      </c>
      <c r="AL58" s="78" t="str">
        <f>IF($R58&lt;&gt;"OK","",IF($AB58=0,"",IF($AB58-$AR58=0,"Nothing left over",IF($O58="Domestic",IF($AG58&lt;=Setup!$C$6+Setup!$C$20+1,"Later units can go by Domestic","Too slow: send it all fast"),IF($AS58+$N58+Setup!$C$25+Setup!$C$11&lt;=Setup!$C$6+Setup!$C$20+1,"Later units can go by Ocean long",IF($AS58+$N58+Setup!$C$26+Setup!$C$11&lt;=Setup!$C$6+Setup!$C$20+1,"Later units can go by Ocean short",IF($AS58+$N58+Setup!$C$27+Setup!$C$11&lt;=Setup!$C$6+Setup!$C$20+1,"Later units can go by Air",IF($AS58+$N58+Setup!$C$28+Setup!$C$11&lt;=Setup!$C$6+Setup!$C$20+1,"Later units can go by Express","Too slow: send it all fast"))))))))</f>
        <v/>
      </c>
      <c r="AM58" s="94" t="str">
        <f>IF($R58&lt;&gt;"OK","",$E58-$D58)</f>
        <v/>
      </c>
      <c r="AN58" s="95" t="str">
        <f>IF($R58&lt;&gt;"OK","",($E58-$D58)/$D58)</f>
        <v/>
      </c>
      <c r="AO58" s="95" t="str">
        <f>IF($R58&lt;&gt;"OK","",IF($AB58&gt;0,$AN58+IF($C58="Evergreen",1000,0),""))</f>
        <v/>
      </c>
      <c r="AP58" s="78" t="str">
        <f>IF(OR($R58&lt;&gt;"OK",$AO58=""),"",COUNTIF($AO$6:$AO$205,"&gt;"&amp;$AO58)+COUNTIF($AO$6:$AO58,$AO58))</f>
        <v/>
      </c>
      <c r="AQ58" s="78" t="str">
        <f>IF(OR($R58&lt;&gt;"OK",$AP58=""),"",INDEX('Buy list'!$G$5:$G$204,$AP58))</f>
        <v/>
      </c>
      <c r="AR58" s="78" t="str">
        <f>IF($R58&lt;&gt;"OK","",IF($AB58=0,0,MIN($AB58,CEILING(MAX(0,($F58*MAX(0,MIN((Setup!$C$6+1+Setup!$C$20),(Setup!$C$5-Setup!$C$7))-Setup!$C$4)+$F58*Setup!$C$8*MAX(0,MIN((Setup!$C$6+1+Setup!$C$20),Setup!$C$5)-MAX((Setup!$C$5-Setup!$C$7),Setup!$C$4))+$W58/4*MAX(0,MIN((Setup!$C$6+1+Setup!$C$20),Setup!$C$5+4)-MAX(Setup!$C$5,Setup!$C$4))+$F58*Setup!$C$14*MAX(0,(Setup!$C$6+1+Setup!$C$20)-MAX(Setup!$C$5+4,Setup!$C$4)))+$Y58-$K58-IF(AND($L58&lt;&gt;"",$L58&gt;0),IF($M58&lt;=Setup!$C$10,$L58,0),0)),IF(OR($P58="",$P58&lt;=0),1,$P58)))))</f>
        <v/>
      </c>
      <c r="AS58" s="96" t="str">
        <f>IF($R58&lt;&gt;"OK","",IF(AND($O58&lt;&gt;"Domestic",ISNUMBER(Setup!$C$22),Setup!$C$22&gt;Setup!$C$4),Setup!$C$22,Setup!$C$4))</f>
        <v/>
      </c>
      <c r="AT58" s="96" t="str">
        <f>IF($R58&lt;&gt;"OK","",IF($AB58=0,"",IF($O58="Domestic",$AG58,$AS58+$N58+Setup!$C$27+Setup!$C$11)))</f>
        <v/>
      </c>
    </row>
    <row r="59" ht="15" customHeight="1" s="46">
      <c r="A59" s="70" t="n"/>
      <c r="B59" s="70" t="n"/>
      <c r="C59" s="70" t="n"/>
      <c r="D59" s="85" t="n"/>
      <c r="E59" s="85" t="n"/>
      <c r="F59" s="86" t="n"/>
      <c r="G59" s="87" t="n"/>
      <c r="H59" s="88" t="n"/>
      <c r="I59" s="89" t="n"/>
      <c r="J59" s="90" t="n"/>
      <c r="K59" s="87" t="n"/>
      <c r="L59" s="87" t="n"/>
      <c r="M59" s="91" t="n"/>
      <c r="N59" s="92" t="n"/>
      <c r="O59" s="70" t="n"/>
      <c r="P59" s="92" t="n"/>
      <c r="Q59" s="87" t="n"/>
      <c r="R59" s="79" t="str">
        <f>IF($A59="","",IF($C59="","Missing: type",IF(OR($D59="",$D59&lt;=0),"Missing: unit cost",IF($E59="","Missing: unit price",IF($F59="","Missing: daily sales",IF($K59="","Missing: on hand",IF($N59="","Missing: production days",IF($O59="","Missing: freight mode",IF(ISNA(MATCH($O59,Setup!$B$25:$B$29,0)),"Unknown freight mode",IF(AND($L59&lt;&gt;"",$L59&gt;0,$M59=""),"Missing: on-order arrival date","OK"))))))))))</f>
        <v/>
      </c>
      <c r="S59" s="78" t="str">
        <f>IF($R59&lt;&gt;"OK","",IF($G59="","",ROUND($G59/IF(OR($H59="",$H59&lt;=0),4,$H59)*4,0)))</f>
        <v/>
      </c>
      <c r="T59" s="78" t="str">
        <f>IF($R59&lt;&gt;"OK","",ROUND(IF($G59="",$F59*4*Setup!$C$19,$G59/IF(OR($H59="",$H59&lt;=0),4,$H59)*4*(1+IF($I59="",Setup!$C$16,$I59)))*IF($J59="",1,$J59),0))</f>
        <v/>
      </c>
      <c r="U59" s="78" t="str">
        <f>IF($R59&lt;&gt;"OK","",ROUND($T59*Setup!$C$17,0))</f>
        <v/>
      </c>
      <c r="V59" s="78" t="str">
        <f>IF($R59&lt;&gt;"OK","",ROUND($T59*Setup!$C$18,0))</f>
        <v/>
      </c>
      <c r="W59" s="78" t="str">
        <f>IF($R59&lt;&gt;"OK","",IF($C59="Evergreen",$V59,IF($C59="Seasonal or new",$U59,$T59)))</f>
        <v/>
      </c>
      <c r="X59" s="78" t="str">
        <f>IF($R59&lt;&gt;"OK","",ROUND(($F59*MAX(0,MIN(Setup!$C$13+1,(Setup!$C$5-Setup!$C$7))-Setup!$C$4)+$F59*Setup!$C$8*MAX(0,MIN(Setup!$C$13+1,Setup!$C$5)-MAX((Setup!$C$5-Setup!$C$7),Setup!$C$4))+$W59/4*MAX(0,MIN(Setup!$C$13+1,Setup!$C$5+4)-MAX(Setup!$C$5,Setup!$C$4))+$F59*Setup!$C$14*MAX(0,Setup!$C$13+1-MAX(Setup!$C$5+4,Setup!$C$4))),0))</f>
        <v/>
      </c>
      <c r="Y59" s="78" t="str">
        <f>IF($R59&lt;&gt;"OK","",ROUND($F59*Setup!$C$15,0))</f>
        <v/>
      </c>
      <c r="Z59" s="78" t="str">
        <f>IF($R59&lt;&gt;"OK","",IF(AND($L59&lt;&gt;"",$L59&gt;0),IF($M59&lt;=Setup!$C$13,$L59,0),0))</f>
        <v/>
      </c>
      <c r="AA59" s="78" t="str">
        <f>IF($R59&lt;&gt;"OK","",MAX(0,$X59+$Y59-$K59-$Z59))</f>
        <v/>
      </c>
      <c r="AB59" s="78" t="str">
        <f>IF($R59&lt;&gt;"OK","",IF($AA59=0,0,CEILING(MAX($AA59,IF($Q59="",0,$Q59)),IF(OR($P59="",$P59&lt;=0),1,$P59))))</f>
        <v/>
      </c>
      <c r="AC59" s="78" t="str">
        <f>IF($R59&lt;&gt;"OK","",$AB59*$D59)</f>
        <v/>
      </c>
      <c r="AD59" s="93" t="str">
        <f>IF($R59&lt;&gt;"OK","",INDEX(Setup!$D$25:$D$29,MATCH($O59,Setup!$B$25:$B$29,0)))</f>
        <v/>
      </c>
      <c r="AE59" s="93" t="str">
        <f>IF($R59&lt;&gt;"OK","",$AD59-$N59)</f>
        <v/>
      </c>
      <c r="AF59" s="79" t="str">
        <f>IF($R59&lt;&gt;"OK","",IF($AB59=0,"No order needed",IF($AE59&gt;=$AS59,"Order by the deadline",IF(AND($O59&lt;&gt;"Domestic",Setup!$D$27-$N59&gt;=$AS59),"Late by this mode: fly it",IF(Setup!$D$28-$N59&gt;=$AS59,"Late: Express courier only",IF($AG59&lt;Setup!$C$5,"Tight: lands before Black Friday",IF(AND($O59&lt;&gt;"Domestic",$AT59&lt;Setup!$C$5),"Tight: by Air lands before Black Friday",IF($AS59+$N59+Setup!$C$28+Setup!$C$11&lt;Setup!$C$5,"Tight: by Express lands before Black Friday","Too late: ration"))))))))</f>
        <v/>
      </c>
      <c r="AG59" s="93" t="str">
        <f>IF($R59&lt;&gt;"OK","",IF($AB59=0,"",$AS59+$N59+INDEX(Setup!$C$25:$C$29,MATCH($O59,Setup!$B$25:$B$29,0))+Setup!$C$11))</f>
        <v/>
      </c>
      <c r="AH59" s="93" t="str">
        <f>IF($R59&lt;&gt;"OK","",IF($F59&lt;=0,"",INT(IF($K59&lt;($F59*MAX(0,(Setup!$C$5-Setup!$C$7)-Setup!$C$4)),Setup!$C$4+$K59/$F59,IF($K59&lt;($F59*MAX(0,(Setup!$C$5-Setup!$C$7)-Setup!$C$4))+($F59*Setup!$C$8*MAX(0,Setup!$C$5-MAX((Setup!$C$5-Setup!$C$7),Setup!$C$4))),MAX((Setup!$C$5-Setup!$C$7),Setup!$C$4)+($K59-($F59*MAX(0,(Setup!$C$5-Setup!$C$7)-Setup!$C$4)))/($F59*Setup!$C$8),IF(AND($W59&gt;0,$K59&lt;($F59*MAX(0,(Setup!$C$5-Setup!$C$7)-Setup!$C$4))+($F59*Setup!$C$8*MAX(0,Setup!$C$5-MAX((Setup!$C$5-Setup!$C$7),Setup!$C$4)))+($W59/4*MAX(0,Setup!$C$5+4-MAX(Setup!$C$5,Setup!$C$4)))),MAX(Setup!$C$5,Setup!$C$4)+($K59-($F59*MAX(0,(Setup!$C$5-Setup!$C$7)-Setup!$C$4))-($F59*Setup!$C$8*MAX(0,Setup!$C$5-MAX((Setup!$C$5-Setup!$C$7),Setup!$C$4))))/($W59/4),MAX(Setup!$C$5+4,Setup!$C$4)+($K59-($F59*MAX(0,(Setup!$C$5-Setup!$C$7)-Setup!$C$4))-($F59*Setup!$C$8*MAX(0,Setup!$C$5-MAX((Setup!$C$5-Setup!$C$7),Setup!$C$4)))-($W59/4*MAX(0,Setup!$C$5+4-MAX(Setup!$C$5,Setup!$C$4))))/($F59*Setup!$C$14)))))))</f>
        <v/>
      </c>
      <c r="AI59" s="79" t="str">
        <f>IF($R59&lt;&gt;"OK","",IF(AND($L59&lt;&gt;"",$L59&gt;0,ISNUMBER($AH59),$M59&gt;$AH59),"Runs out before the incoming delivery arrives",IF($AB59=0,"OK",IF($K59+IF(AND($L59&lt;&gt;"",$L59&gt;0),IF($M59&lt;=$AG59,$L59,0),0)&lt;($F59*MAX(0,MIN($AG59,(Setup!$C$5-Setup!$C$7))-Setup!$C$4)+$F59*Setup!$C$8*MAX(0,MIN($AG59,Setup!$C$5)-MAX((Setup!$C$5-Setup!$C$7),Setup!$C$4))+$W59/4*MAX(0,MIN($AG59,Setup!$C$5+4)-MAX(Setup!$C$5,Setup!$C$4))+$F59*Setup!$C$14*MAX(0,$AG59-MAX(Setup!$C$5+4,Setup!$C$4))),"Runs out before this order can land","OK"))))</f>
        <v/>
      </c>
      <c r="AJ59" s="78" t="str">
        <f>IF($R59&lt;&gt;"OK","",IF($AB59=0,0,IF($AL59="Too slow: send it all fast",$AB59,$AR59)))</f>
        <v/>
      </c>
      <c r="AK59" s="78" t="str">
        <f>IF($R59&lt;&gt;"OK","",$AB59-$AJ59)</f>
        <v/>
      </c>
      <c r="AL59" s="78" t="str">
        <f>IF($R59&lt;&gt;"OK","",IF($AB59=0,"",IF($AB59-$AR59=0,"Nothing left over",IF($O59="Domestic",IF($AG59&lt;=Setup!$C$6+Setup!$C$20+1,"Later units can go by Domestic","Too slow: send it all fast"),IF($AS59+$N59+Setup!$C$25+Setup!$C$11&lt;=Setup!$C$6+Setup!$C$20+1,"Later units can go by Ocean long",IF($AS59+$N59+Setup!$C$26+Setup!$C$11&lt;=Setup!$C$6+Setup!$C$20+1,"Later units can go by Ocean short",IF($AS59+$N59+Setup!$C$27+Setup!$C$11&lt;=Setup!$C$6+Setup!$C$20+1,"Later units can go by Air",IF($AS59+$N59+Setup!$C$28+Setup!$C$11&lt;=Setup!$C$6+Setup!$C$20+1,"Later units can go by Express","Too slow: send it all fast"))))))))</f>
        <v/>
      </c>
      <c r="AM59" s="94" t="str">
        <f>IF($R59&lt;&gt;"OK","",$E59-$D59)</f>
        <v/>
      </c>
      <c r="AN59" s="95" t="str">
        <f>IF($R59&lt;&gt;"OK","",($E59-$D59)/$D59)</f>
        <v/>
      </c>
      <c r="AO59" s="95" t="str">
        <f>IF($R59&lt;&gt;"OK","",IF($AB59&gt;0,$AN59+IF($C59="Evergreen",1000,0),""))</f>
        <v/>
      </c>
      <c r="AP59" s="78" t="str">
        <f>IF(OR($R59&lt;&gt;"OK",$AO59=""),"",COUNTIF($AO$6:$AO$205,"&gt;"&amp;$AO59)+COUNTIF($AO$6:$AO59,$AO59))</f>
        <v/>
      </c>
      <c r="AQ59" s="78" t="str">
        <f>IF(OR($R59&lt;&gt;"OK",$AP59=""),"",INDEX('Buy list'!$G$5:$G$204,$AP59))</f>
        <v/>
      </c>
      <c r="AR59" s="78" t="str">
        <f>IF($R59&lt;&gt;"OK","",IF($AB59=0,0,MIN($AB59,CEILING(MAX(0,($F59*MAX(0,MIN((Setup!$C$6+1+Setup!$C$20),(Setup!$C$5-Setup!$C$7))-Setup!$C$4)+$F59*Setup!$C$8*MAX(0,MIN((Setup!$C$6+1+Setup!$C$20),Setup!$C$5)-MAX((Setup!$C$5-Setup!$C$7),Setup!$C$4))+$W59/4*MAX(0,MIN((Setup!$C$6+1+Setup!$C$20),Setup!$C$5+4)-MAX(Setup!$C$5,Setup!$C$4))+$F59*Setup!$C$14*MAX(0,(Setup!$C$6+1+Setup!$C$20)-MAX(Setup!$C$5+4,Setup!$C$4)))+$Y59-$K59-IF(AND($L59&lt;&gt;"",$L59&gt;0),IF($M59&lt;=Setup!$C$10,$L59,0),0)),IF(OR($P59="",$P59&lt;=0),1,$P59)))))</f>
        <v/>
      </c>
      <c r="AS59" s="96" t="str">
        <f>IF($R59&lt;&gt;"OK","",IF(AND($O59&lt;&gt;"Domestic",ISNUMBER(Setup!$C$22),Setup!$C$22&gt;Setup!$C$4),Setup!$C$22,Setup!$C$4))</f>
        <v/>
      </c>
      <c r="AT59" s="96" t="str">
        <f>IF($R59&lt;&gt;"OK","",IF($AB59=0,"",IF($O59="Domestic",$AG59,$AS59+$N59+Setup!$C$27+Setup!$C$11)))</f>
        <v/>
      </c>
    </row>
    <row r="60" ht="15" customHeight="1" s="46">
      <c r="A60" s="70" t="n"/>
      <c r="B60" s="70" t="n"/>
      <c r="C60" s="70" t="n"/>
      <c r="D60" s="85" t="n"/>
      <c r="E60" s="85" t="n"/>
      <c r="F60" s="86" t="n"/>
      <c r="G60" s="87" t="n"/>
      <c r="H60" s="88" t="n"/>
      <c r="I60" s="89" t="n"/>
      <c r="J60" s="90" t="n"/>
      <c r="K60" s="87" t="n"/>
      <c r="L60" s="87" t="n"/>
      <c r="M60" s="91" t="n"/>
      <c r="N60" s="92" t="n"/>
      <c r="O60" s="70" t="n"/>
      <c r="P60" s="92" t="n"/>
      <c r="Q60" s="87" t="n"/>
      <c r="R60" s="79" t="str">
        <f>IF($A60="","",IF($C60="","Missing: type",IF(OR($D60="",$D60&lt;=0),"Missing: unit cost",IF($E60="","Missing: unit price",IF($F60="","Missing: daily sales",IF($K60="","Missing: on hand",IF($N60="","Missing: production days",IF($O60="","Missing: freight mode",IF(ISNA(MATCH($O60,Setup!$B$25:$B$29,0)),"Unknown freight mode",IF(AND($L60&lt;&gt;"",$L60&gt;0,$M60=""),"Missing: on-order arrival date","OK"))))))))))</f>
        <v/>
      </c>
      <c r="S60" s="78" t="str">
        <f>IF($R60&lt;&gt;"OK","",IF($G60="","",ROUND($G60/IF(OR($H60="",$H60&lt;=0),4,$H60)*4,0)))</f>
        <v/>
      </c>
      <c r="T60" s="78" t="str">
        <f>IF($R60&lt;&gt;"OK","",ROUND(IF($G60="",$F60*4*Setup!$C$19,$G60/IF(OR($H60="",$H60&lt;=0),4,$H60)*4*(1+IF($I60="",Setup!$C$16,$I60)))*IF($J60="",1,$J60),0))</f>
        <v/>
      </c>
      <c r="U60" s="78" t="str">
        <f>IF($R60&lt;&gt;"OK","",ROUND($T60*Setup!$C$17,0))</f>
        <v/>
      </c>
      <c r="V60" s="78" t="str">
        <f>IF($R60&lt;&gt;"OK","",ROUND($T60*Setup!$C$18,0))</f>
        <v/>
      </c>
      <c r="W60" s="78" t="str">
        <f>IF($R60&lt;&gt;"OK","",IF($C60="Evergreen",$V60,IF($C60="Seasonal or new",$U60,$T60)))</f>
        <v/>
      </c>
      <c r="X60" s="78" t="str">
        <f>IF($R60&lt;&gt;"OK","",ROUND(($F60*MAX(0,MIN(Setup!$C$13+1,(Setup!$C$5-Setup!$C$7))-Setup!$C$4)+$F60*Setup!$C$8*MAX(0,MIN(Setup!$C$13+1,Setup!$C$5)-MAX((Setup!$C$5-Setup!$C$7),Setup!$C$4))+$W60/4*MAX(0,MIN(Setup!$C$13+1,Setup!$C$5+4)-MAX(Setup!$C$5,Setup!$C$4))+$F60*Setup!$C$14*MAX(0,Setup!$C$13+1-MAX(Setup!$C$5+4,Setup!$C$4))),0))</f>
        <v/>
      </c>
      <c r="Y60" s="78" t="str">
        <f>IF($R60&lt;&gt;"OK","",ROUND($F60*Setup!$C$15,0))</f>
        <v/>
      </c>
      <c r="Z60" s="78" t="str">
        <f>IF($R60&lt;&gt;"OK","",IF(AND($L60&lt;&gt;"",$L60&gt;0),IF($M60&lt;=Setup!$C$13,$L60,0),0))</f>
        <v/>
      </c>
      <c r="AA60" s="78" t="str">
        <f>IF($R60&lt;&gt;"OK","",MAX(0,$X60+$Y60-$K60-$Z60))</f>
        <v/>
      </c>
      <c r="AB60" s="78" t="str">
        <f>IF($R60&lt;&gt;"OK","",IF($AA60=0,0,CEILING(MAX($AA60,IF($Q60="",0,$Q60)),IF(OR($P60="",$P60&lt;=0),1,$P60))))</f>
        <v/>
      </c>
      <c r="AC60" s="78" t="str">
        <f>IF($R60&lt;&gt;"OK","",$AB60*$D60)</f>
        <v/>
      </c>
      <c r="AD60" s="93" t="str">
        <f>IF($R60&lt;&gt;"OK","",INDEX(Setup!$D$25:$D$29,MATCH($O60,Setup!$B$25:$B$29,0)))</f>
        <v/>
      </c>
      <c r="AE60" s="93" t="str">
        <f>IF($R60&lt;&gt;"OK","",$AD60-$N60)</f>
        <v/>
      </c>
      <c r="AF60" s="79" t="str">
        <f>IF($R60&lt;&gt;"OK","",IF($AB60=0,"No order needed",IF($AE60&gt;=$AS60,"Order by the deadline",IF(AND($O60&lt;&gt;"Domestic",Setup!$D$27-$N60&gt;=$AS60),"Late by this mode: fly it",IF(Setup!$D$28-$N60&gt;=$AS60,"Late: Express courier only",IF($AG60&lt;Setup!$C$5,"Tight: lands before Black Friday",IF(AND($O60&lt;&gt;"Domestic",$AT60&lt;Setup!$C$5),"Tight: by Air lands before Black Friday",IF($AS60+$N60+Setup!$C$28+Setup!$C$11&lt;Setup!$C$5,"Tight: by Express lands before Black Friday","Too late: ration"))))))))</f>
        <v/>
      </c>
      <c r="AG60" s="93" t="str">
        <f>IF($R60&lt;&gt;"OK","",IF($AB60=0,"",$AS60+$N60+INDEX(Setup!$C$25:$C$29,MATCH($O60,Setup!$B$25:$B$29,0))+Setup!$C$11))</f>
        <v/>
      </c>
      <c r="AH60" s="93" t="str">
        <f>IF($R60&lt;&gt;"OK","",IF($F60&lt;=0,"",INT(IF($K60&lt;($F60*MAX(0,(Setup!$C$5-Setup!$C$7)-Setup!$C$4)),Setup!$C$4+$K60/$F60,IF($K60&lt;($F60*MAX(0,(Setup!$C$5-Setup!$C$7)-Setup!$C$4))+($F60*Setup!$C$8*MAX(0,Setup!$C$5-MAX((Setup!$C$5-Setup!$C$7),Setup!$C$4))),MAX((Setup!$C$5-Setup!$C$7),Setup!$C$4)+($K60-($F60*MAX(0,(Setup!$C$5-Setup!$C$7)-Setup!$C$4)))/($F60*Setup!$C$8),IF(AND($W60&gt;0,$K60&lt;($F60*MAX(0,(Setup!$C$5-Setup!$C$7)-Setup!$C$4))+($F60*Setup!$C$8*MAX(0,Setup!$C$5-MAX((Setup!$C$5-Setup!$C$7),Setup!$C$4)))+($W60/4*MAX(0,Setup!$C$5+4-MAX(Setup!$C$5,Setup!$C$4)))),MAX(Setup!$C$5,Setup!$C$4)+($K60-($F60*MAX(0,(Setup!$C$5-Setup!$C$7)-Setup!$C$4))-($F60*Setup!$C$8*MAX(0,Setup!$C$5-MAX((Setup!$C$5-Setup!$C$7),Setup!$C$4))))/($W60/4),MAX(Setup!$C$5+4,Setup!$C$4)+($K60-($F60*MAX(0,(Setup!$C$5-Setup!$C$7)-Setup!$C$4))-($F60*Setup!$C$8*MAX(0,Setup!$C$5-MAX((Setup!$C$5-Setup!$C$7),Setup!$C$4)))-($W60/4*MAX(0,Setup!$C$5+4-MAX(Setup!$C$5,Setup!$C$4))))/($F60*Setup!$C$14)))))))</f>
        <v/>
      </c>
      <c r="AI60" s="79" t="str">
        <f>IF($R60&lt;&gt;"OK","",IF(AND($L60&lt;&gt;"",$L60&gt;0,ISNUMBER($AH60),$M60&gt;$AH60),"Runs out before the incoming delivery arrives",IF($AB60=0,"OK",IF($K60+IF(AND($L60&lt;&gt;"",$L60&gt;0),IF($M60&lt;=$AG60,$L60,0),0)&lt;($F60*MAX(0,MIN($AG60,(Setup!$C$5-Setup!$C$7))-Setup!$C$4)+$F60*Setup!$C$8*MAX(0,MIN($AG60,Setup!$C$5)-MAX((Setup!$C$5-Setup!$C$7),Setup!$C$4))+$W60/4*MAX(0,MIN($AG60,Setup!$C$5+4)-MAX(Setup!$C$5,Setup!$C$4))+$F60*Setup!$C$14*MAX(0,$AG60-MAX(Setup!$C$5+4,Setup!$C$4))),"Runs out before this order can land","OK"))))</f>
        <v/>
      </c>
      <c r="AJ60" s="78" t="str">
        <f>IF($R60&lt;&gt;"OK","",IF($AB60=0,0,IF($AL60="Too slow: send it all fast",$AB60,$AR60)))</f>
        <v/>
      </c>
      <c r="AK60" s="78" t="str">
        <f>IF($R60&lt;&gt;"OK","",$AB60-$AJ60)</f>
        <v/>
      </c>
      <c r="AL60" s="78" t="str">
        <f>IF($R60&lt;&gt;"OK","",IF($AB60=0,"",IF($AB60-$AR60=0,"Nothing left over",IF($O60="Domestic",IF($AG60&lt;=Setup!$C$6+Setup!$C$20+1,"Later units can go by Domestic","Too slow: send it all fast"),IF($AS60+$N60+Setup!$C$25+Setup!$C$11&lt;=Setup!$C$6+Setup!$C$20+1,"Later units can go by Ocean long",IF($AS60+$N60+Setup!$C$26+Setup!$C$11&lt;=Setup!$C$6+Setup!$C$20+1,"Later units can go by Ocean short",IF($AS60+$N60+Setup!$C$27+Setup!$C$11&lt;=Setup!$C$6+Setup!$C$20+1,"Later units can go by Air",IF($AS60+$N60+Setup!$C$28+Setup!$C$11&lt;=Setup!$C$6+Setup!$C$20+1,"Later units can go by Express","Too slow: send it all fast"))))))))</f>
        <v/>
      </c>
      <c r="AM60" s="94" t="str">
        <f>IF($R60&lt;&gt;"OK","",$E60-$D60)</f>
        <v/>
      </c>
      <c r="AN60" s="95" t="str">
        <f>IF($R60&lt;&gt;"OK","",($E60-$D60)/$D60)</f>
        <v/>
      </c>
      <c r="AO60" s="95" t="str">
        <f>IF($R60&lt;&gt;"OK","",IF($AB60&gt;0,$AN60+IF($C60="Evergreen",1000,0),""))</f>
        <v/>
      </c>
      <c r="AP60" s="78" t="str">
        <f>IF(OR($R60&lt;&gt;"OK",$AO60=""),"",COUNTIF($AO$6:$AO$205,"&gt;"&amp;$AO60)+COUNTIF($AO$6:$AO60,$AO60))</f>
        <v/>
      </c>
      <c r="AQ60" s="78" t="str">
        <f>IF(OR($R60&lt;&gt;"OK",$AP60=""),"",INDEX('Buy list'!$G$5:$G$204,$AP60))</f>
        <v/>
      </c>
      <c r="AR60" s="78" t="str">
        <f>IF($R60&lt;&gt;"OK","",IF($AB60=0,0,MIN($AB60,CEILING(MAX(0,($F60*MAX(0,MIN((Setup!$C$6+1+Setup!$C$20),(Setup!$C$5-Setup!$C$7))-Setup!$C$4)+$F60*Setup!$C$8*MAX(0,MIN((Setup!$C$6+1+Setup!$C$20),Setup!$C$5)-MAX((Setup!$C$5-Setup!$C$7),Setup!$C$4))+$W60/4*MAX(0,MIN((Setup!$C$6+1+Setup!$C$20),Setup!$C$5+4)-MAX(Setup!$C$5,Setup!$C$4))+$F60*Setup!$C$14*MAX(0,(Setup!$C$6+1+Setup!$C$20)-MAX(Setup!$C$5+4,Setup!$C$4)))+$Y60-$K60-IF(AND($L60&lt;&gt;"",$L60&gt;0),IF($M60&lt;=Setup!$C$10,$L60,0),0)),IF(OR($P60="",$P60&lt;=0),1,$P60)))))</f>
        <v/>
      </c>
      <c r="AS60" s="96" t="str">
        <f>IF($R60&lt;&gt;"OK","",IF(AND($O60&lt;&gt;"Domestic",ISNUMBER(Setup!$C$22),Setup!$C$22&gt;Setup!$C$4),Setup!$C$22,Setup!$C$4))</f>
        <v/>
      </c>
      <c r="AT60" s="96" t="str">
        <f>IF($R60&lt;&gt;"OK","",IF($AB60=0,"",IF($O60="Domestic",$AG60,$AS60+$N60+Setup!$C$27+Setup!$C$11)))</f>
        <v/>
      </c>
    </row>
    <row r="61" ht="15" customHeight="1" s="46">
      <c r="A61" s="70" t="n"/>
      <c r="B61" s="70" t="n"/>
      <c r="C61" s="70" t="n"/>
      <c r="D61" s="85" t="n"/>
      <c r="E61" s="85" t="n"/>
      <c r="F61" s="86" t="n"/>
      <c r="G61" s="87" t="n"/>
      <c r="H61" s="88" t="n"/>
      <c r="I61" s="89" t="n"/>
      <c r="J61" s="90" t="n"/>
      <c r="K61" s="87" t="n"/>
      <c r="L61" s="87" t="n"/>
      <c r="M61" s="91" t="n"/>
      <c r="N61" s="92" t="n"/>
      <c r="O61" s="70" t="n"/>
      <c r="P61" s="92" t="n"/>
      <c r="Q61" s="87" t="n"/>
      <c r="R61" s="79" t="str">
        <f>IF($A61="","",IF($C61="","Missing: type",IF(OR($D61="",$D61&lt;=0),"Missing: unit cost",IF($E61="","Missing: unit price",IF($F61="","Missing: daily sales",IF($K61="","Missing: on hand",IF($N61="","Missing: production days",IF($O61="","Missing: freight mode",IF(ISNA(MATCH($O61,Setup!$B$25:$B$29,0)),"Unknown freight mode",IF(AND($L61&lt;&gt;"",$L61&gt;0,$M61=""),"Missing: on-order arrival date","OK"))))))))))</f>
        <v/>
      </c>
      <c r="S61" s="78" t="str">
        <f>IF($R61&lt;&gt;"OK","",IF($G61="","",ROUND($G61/IF(OR($H61="",$H61&lt;=0),4,$H61)*4,0)))</f>
        <v/>
      </c>
      <c r="T61" s="78" t="str">
        <f>IF($R61&lt;&gt;"OK","",ROUND(IF($G61="",$F61*4*Setup!$C$19,$G61/IF(OR($H61="",$H61&lt;=0),4,$H61)*4*(1+IF($I61="",Setup!$C$16,$I61)))*IF($J61="",1,$J61),0))</f>
        <v/>
      </c>
      <c r="U61" s="78" t="str">
        <f>IF($R61&lt;&gt;"OK","",ROUND($T61*Setup!$C$17,0))</f>
        <v/>
      </c>
      <c r="V61" s="78" t="str">
        <f>IF($R61&lt;&gt;"OK","",ROUND($T61*Setup!$C$18,0))</f>
        <v/>
      </c>
      <c r="W61" s="78" t="str">
        <f>IF($R61&lt;&gt;"OK","",IF($C61="Evergreen",$V61,IF($C61="Seasonal or new",$U61,$T61)))</f>
        <v/>
      </c>
      <c r="X61" s="78" t="str">
        <f>IF($R61&lt;&gt;"OK","",ROUND(($F61*MAX(0,MIN(Setup!$C$13+1,(Setup!$C$5-Setup!$C$7))-Setup!$C$4)+$F61*Setup!$C$8*MAX(0,MIN(Setup!$C$13+1,Setup!$C$5)-MAX((Setup!$C$5-Setup!$C$7),Setup!$C$4))+$W61/4*MAX(0,MIN(Setup!$C$13+1,Setup!$C$5+4)-MAX(Setup!$C$5,Setup!$C$4))+$F61*Setup!$C$14*MAX(0,Setup!$C$13+1-MAX(Setup!$C$5+4,Setup!$C$4))),0))</f>
        <v/>
      </c>
      <c r="Y61" s="78" t="str">
        <f>IF($R61&lt;&gt;"OK","",ROUND($F61*Setup!$C$15,0))</f>
        <v/>
      </c>
      <c r="Z61" s="78" t="str">
        <f>IF($R61&lt;&gt;"OK","",IF(AND($L61&lt;&gt;"",$L61&gt;0),IF($M61&lt;=Setup!$C$13,$L61,0),0))</f>
        <v/>
      </c>
      <c r="AA61" s="78" t="str">
        <f>IF($R61&lt;&gt;"OK","",MAX(0,$X61+$Y61-$K61-$Z61))</f>
        <v/>
      </c>
      <c r="AB61" s="78" t="str">
        <f>IF($R61&lt;&gt;"OK","",IF($AA61=0,0,CEILING(MAX($AA61,IF($Q61="",0,$Q61)),IF(OR($P61="",$P61&lt;=0),1,$P61))))</f>
        <v/>
      </c>
      <c r="AC61" s="78" t="str">
        <f>IF($R61&lt;&gt;"OK","",$AB61*$D61)</f>
        <v/>
      </c>
      <c r="AD61" s="93" t="str">
        <f>IF($R61&lt;&gt;"OK","",INDEX(Setup!$D$25:$D$29,MATCH($O61,Setup!$B$25:$B$29,0)))</f>
        <v/>
      </c>
      <c r="AE61" s="93" t="str">
        <f>IF($R61&lt;&gt;"OK","",$AD61-$N61)</f>
        <v/>
      </c>
      <c r="AF61" s="79" t="str">
        <f>IF($R61&lt;&gt;"OK","",IF($AB61=0,"No order needed",IF($AE61&gt;=$AS61,"Order by the deadline",IF(AND($O61&lt;&gt;"Domestic",Setup!$D$27-$N61&gt;=$AS61),"Late by this mode: fly it",IF(Setup!$D$28-$N61&gt;=$AS61,"Late: Express courier only",IF($AG61&lt;Setup!$C$5,"Tight: lands before Black Friday",IF(AND($O61&lt;&gt;"Domestic",$AT61&lt;Setup!$C$5),"Tight: by Air lands before Black Friday",IF($AS61+$N61+Setup!$C$28+Setup!$C$11&lt;Setup!$C$5,"Tight: by Express lands before Black Friday","Too late: ration"))))))))</f>
        <v/>
      </c>
      <c r="AG61" s="93" t="str">
        <f>IF($R61&lt;&gt;"OK","",IF($AB61=0,"",$AS61+$N61+INDEX(Setup!$C$25:$C$29,MATCH($O61,Setup!$B$25:$B$29,0))+Setup!$C$11))</f>
        <v/>
      </c>
      <c r="AH61" s="93" t="str">
        <f>IF($R61&lt;&gt;"OK","",IF($F61&lt;=0,"",INT(IF($K61&lt;($F61*MAX(0,(Setup!$C$5-Setup!$C$7)-Setup!$C$4)),Setup!$C$4+$K61/$F61,IF($K61&lt;($F61*MAX(0,(Setup!$C$5-Setup!$C$7)-Setup!$C$4))+($F61*Setup!$C$8*MAX(0,Setup!$C$5-MAX((Setup!$C$5-Setup!$C$7),Setup!$C$4))),MAX((Setup!$C$5-Setup!$C$7),Setup!$C$4)+($K61-($F61*MAX(0,(Setup!$C$5-Setup!$C$7)-Setup!$C$4)))/($F61*Setup!$C$8),IF(AND($W61&gt;0,$K61&lt;($F61*MAX(0,(Setup!$C$5-Setup!$C$7)-Setup!$C$4))+($F61*Setup!$C$8*MAX(0,Setup!$C$5-MAX((Setup!$C$5-Setup!$C$7),Setup!$C$4)))+($W61/4*MAX(0,Setup!$C$5+4-MAX(Setup!$C$5,Setup!$C$4)))),MAX(Setup!$C$5,Setup!$C$4)+($K61-($F61*MAX(0,(Setup!$C$5-Setup!$C$7)-Setup!$C$4))-($F61*Setup!$C$8*MAX(0,Setup!$C$5-MAX((Setup!$C$5-Setup!$C$7),Setup!$C$4))))/($W61/4),MAX(Setup!$C$5+4,Setup!$C$4)+($K61-($F61*MAX(0,(Setup!$C$5-Setup!$C$7)-Setup!$C$4))-($F61*Setup!$C$8*MAX(0,Setup!$C$5-MAX((Setup!$C$5-Setup!$C$7),Setup!$C$4)))-($W61/4*MAX(0,Setup!$C$5+4-MAX(Setup!$C$5,Setup!$C$4))))/($F61*Setup!$C$14)))))))</f>
        <v/>
      </c>
      <c r="AI61" s="79" t="str">
        <f>IF($R61&lt;&gt;"OK","",IF(AND($L61&lt;&gt;"",$L61&gt;0,ISNUMBER($AH61),$M61&gt;$AH61),"Runs out before the incoming delivery arrives",IF($AB61=0,"OK",IF($K61+IF(AND($L61&lt;&gt;"",$L61&gt;0),IF($M61&lt;=$AG61,$L61,0),0)&lt;($F61*MAX(0,MIN($AG61,(Setup!$C$5-Setup!$C$7))-Setup!$C$4)+$F61*Setup!$C$8*MAX(0,MIN($AG61,Setup!$C$5)-MAX((Setup!$C$5-Setup!$C$7),Setup!$C$4))+$W61/4*MAX(0,MIN($AG61,Setup!$C$5+4)-MAX(Setup!$C$5,Setup!$C$4))+$F61*Setup!$C$14*MAX(0,$AG61-MAX(Setup!$C$5+4,Setup!$C$4))),"Runs out before this order can land","OK"))))</f>
        <v/>
      </c>
      <c r="AJ61" s="78" t="str">
        <f>IF($R61&lt;&gt;"OK","",IF($AB61=0,0,IF($AL61="Too slow: send it all fast",$AB61,$AR61)))</f>
        <v/>
      </c>
      <c r="AK61" s="78" t="str">
        <f>IF($R61&lt;&gt;"OK","",$AB61-$AJ61)</f>
        <v/>
      </c>
      <c r="AL61" s="78" t="str">
        <f>IF($R61&lt;&gt;"OK","",IF($AB61=0,"",IF($AB61-$AR61=0,"Nothing left over",IF($O61="Domestic",IF($AG61&lt;=Setup!$C$6+Setup!$C$20+1,"Later units can go by Domestic","Too slow: send it all fast"),IF($AS61+$N61+Setup!$C$25+Setup!$C$11&lt;=Setup!$C$6+Setup!$C$20+1,"Later units can go by Ocean long",IF($AS61+$N61+Setup!$C$26+Setup!$C$11&lt;=Setup!$C$6+Setup!$C$20+1,"Later units can go by Ocean short",IF($AS61+$N61+Setup!$C$27+Setup!$C$11&lt;=Setup!$C$6+Setup!$C$20+1,"Later units can go by Air",IF($AS61+$N61+Setup!$C$28+Setup!$C$11&lt;=Setup!$C$6+Setup!$C$20+1,"Later units can go by Express","Too slow: send it all fast"))))))))</f>
        <v/>
      </c>
      <c r="AM61" s="94" t="str">
        <f>IF($R61&lt;&gt;"OK","",$E61-$D61)</f>
        <v/>
      </c>
      <c r="AN61" s="95" t="str">
        <f>IF($R61&lt;&gt;"OK","",($E61-$D61)/$D61)</f>
        <v/>
      </c>
      <c r="AO61" s="95" t="str">
        <f>IF($R61&lt;&gt;"OK","",IF($AB61&gt;0,$AN61+IF($C61="Evergreen",1000,0),""))</f>
        <v/>
      </c>
      <c r="AP61" s="78" t="str">
        <f>IF(OR($R61&lt;&gt;"OK",$AO61=""),"",COUNTIF($AO$6:$AO$205,"&gt;"&amp;$AO61)+COUNTIF($AO$6:$AO61,$AO61))</f>
        <v/>
      </c>
      <c r="AQ61" s="78" t="str">
        <f>IF(OR($R61&lt;&gt;"OK",$AP61=""),"",INDEX('Buy list'!$G$5:$G$204,$AP61))</f>
        <v/>
      </c>
      <c r="AR61" s="78" t="str">
        <f>IF($R61&lt;&gt;"OK","",IF($AB61=0,0,MIN($AB61,CEILING(MAX(0,($F61*MAX(0,MIN((Setup!$C$6+1+Setup!$C$20),(Setup!$C$5-Setup!$C$7))-Setup!$C$4)+$F61*Setup!$C$8*MAX(0,MIN((Setup!$C$6+1+Setup!$C$20),Setup!$C$5)-MAX((Setup!$C$5-Setup!$C$7),Setup!$C$4))+$W61/4*MAX(0,MIN((Setup!$C$6+1+Setup!$C$20),Setup!$C$5+4)-MAX(Setup!$C$5,Setup!$C$4))+$F61*Setup!$C$14*MAX(0,(Setup!$C$6+1+Setup!$C$20)-MAX(Setup!$C$5+4,Setup!$C$4)))+$Y61-$K61-IF(AND($L61&lt;&gt;"",$L61&gt;0),IF($M61&lt;=Setup!$C$10,$L61,0),0)),IF(OR($P61="",$P61&lt;=0),1,$P61)))))</f>
        <v/>
      </c>
      <c r="AS61" s="96" t="str">
        <f>IF($R61&lt;&gt;"OK","",IF(AND($O61&lt;&gt;"Domestic",ISNUMBER(Setup!$C$22),Setup!$C$22&gt;Setup!$C$4),Setup!$C$22,Setup!$C$4))</f>
        <v/>
      </c>
      <c r="AT61" s="96" t="str">
        <f>IF($R61&lt;&gt;"OK","",IF($AB61=0,"",IF($O61="Domestic",$AG61,$AS61+$N61+Setup!$C$27+Setup!$C$11)))</f>
        <v/>
      </c>
    </row>
    <row r="62" ht="15" customHeight="1" s="46">
      <c r="A62" s="70" t="n"/>
      <c r="B62" s="70" t="n"/>
      <c r="C62" s="70" t="n"/>
      <c r="D62" s="85" t="n"/>
      <c r="E62" s="85" t="n"/>
      <c r="F62" s="86" t="n"/>
      <c r="G62" s="87" t="n"/>
      <c r="H62" s="88" t="n"/>
      <c r="I62" s="89" t="n"/>
      <c r="J62" s="90" t="n"/>
      <c r="K62" s="87" t="n"/>
      <c r="L62" s="87" t="n"/>
      <c r="M62" s="91" t="n"/>
      <c r="N62" s="92" t="n"/>
      <c r="O62" s="70" t="n"/>
      <c r="P62" s="92" t="n"/>
      <c r="Q62" s="87" t="n"/>
      <c r="R62" s="79" t="str">
        <f>IF($A62="","",IF($C62="","Missing: type",IF(OR($D62="",$D62&lt;=0),"Missing: unit cost",IF($E62="","Missing: unit price",IF($F62="","Missing: daily sales",IF($K62="","Missing: on hand",IF($N62="","Missing: production days",IF($O62="","Missing: freight mode",IF(ISNA(MATCH($O62,Setup!$B$25:$B$29,0)),"Unknown freight mode",IF(AND($L62&lt;&gt;"",$L62&gt;0,$M62=""),"Missing: on-order arrival date","OK"))))))))))</f>
        <v/>
      </c>
      <c r="S62" s="78" t="str">
        <f>IF($R62&lt;&gt;"OK","",IF($G62="","",ROUND($G62/IF(OR($H62="",$H62&lt;=0),4,$H62)*4,0)))</f>
        <v/>
      </c>
      <c r="T62" s="78" t="str">
        <f>IF($R62&lt;&gt;"OK","",ROUND(IF($G62="",$F62*4*Setup!$C$19,$G62/IF(OR($H62="",$H62&lt;=0),4,$H62)*4*(1+IF($I62="",Setup!$C$16,$I62)))*IF($J62="",1,$J62),0))</f>
        <v/>
      </c>
      <c r="U62" s="78" t="str">
        <f>IF($R62&lt;&gt;"OK","",ROUND($T62*Setup!$C$17,0))</f>
        <v/>
      </c>
      <c r="V62" s="78" t="str">
        <f>IF($R62&lt;&gt;"OK","",ROUND($T62*Setup!$C$18,0))</f>
        <v/>
      </c>
      <c r="W62" s="78" t="str">
        <f>IF($R62&lt;&gt;"OK","",IF($C62="Evergreen",$V62,IF($C62="Seasonal or new",$U62,$T62)))</f>
        <v/>
      </c>
      <c r="X62" s="78" t="str">
        <f>IF($R62&lt;&gt;"OK","",ROUND(($F62*MAX(0,MIN(Setup!$C$13+1,(Setup!$C$5-Setup!$C$7))-Setup!$C$4)+$F62*Setup!$C$8*MAX(0,MIN(Setup!$C$13+1,Setup!$C$5)-MAX((Setup!$C$5-Setup!$C$7),Setup!$C$4))+$W62/4*MAX(0,MIN(Setup!$C$13+1,Setup!$C$5+4)-MAX(Setup!$C$5,Setup!$C$4))+$F62*Setup!$C$14*MAX(0,Setup!$C$13+1-MAX(Setup!$C$5+4,Setup!$C$4))),0))</f>
        <v/>
      </c>
      <c r="Y62" s="78" t="str">
        <f>IF($R62&lt;&gt;"OK","",ROUND($F62*Setup!$C$15,0))</f>
        <v/>
      </c>
      <c r="Z62" s="78" t="str">
        <f>IF($R62&lt;&gt;"OK","",IF(AND($L62&lt;&gt;"",$L62&gt;0),IF($M62&lt;=Setup!$C$13,$L62,0),0))</f>
        <v/>
      </c>
      <c r="AA62" s="78" t="str">
        <f>IF($R62&lt;&gt;"OK","",MAX(0,$X62+$Y62-$K62-$Z62))</f>
        <v/>
      </c>
      <c r="AB62" s="78" t="str">
        <f>IF($R62&lt;&gt;"OK","",IF($AA62=0,0,CEILING(MAX($AA62,IF($Q62="",0,$Q62)),IF(OR($P62="",$P62&lt;=0),1,$P62))))</f>
        <v/>
      </c>
      <c r="AC62" s="78" t="str">
        <f>IF($R62&lt;&gt;"OK","",$AB62*$D62)</f>
        <v/>
      </c>
      <c r="AD62" s="93" t="str">
        <f>IF($R62&lt;&gt;"OK","",INDEX(Setup!$D$25:$D$29,MATCH($O62,Setup!$B$25:$B$29,0)))</f>
        <v/>
      </c>
      <c r="AE62" s="93" t="str">
        <f>IF($R62&lt;&gt;"OK","",$AD62-$N62)</f>
        <v/>
      </c>
      <c r="AF62" s="79" t="str">
        <f>IF($R62&lt;&gt;"OK","",IF($AB62=0,"No order needed",IF($AE62&gt;=$AS62,"Order by the deadline",IF(AND($O62&lt;&gt;"Domestic",Setup!$D$27-$N62&gt;=$AS62),"Late by this mode: fly it",IF(Setup!$D$28-$N62&gt;=$AS62,"Late: Express courier only",IF($AG62&lt;Setup!$C$5,"Tight: lands before Black Friday",IF(AND($O62&lt;&gt;"Domestic",$AT62&lt;Setup!$C$5),"Tight: by Air lands before Black Friday",IF($AS62+$N62+Setup!$C$28+Setup!$C$11&lt;Setup!$C$5,"Tight: by Express lands before Black Friday","Too late: ration"))))))))</f>
        <v/>
      </c>
      <c r="AG62" s="93" t="str">
        <f>IF($R62&lt;&gt;"OK","",IF($AB62=0,"",$AS62+$N62+INDEX(Setup!$C$25:$C$29,MATCH($O62,Setup!$B$25:$B$29,0))+Setup!$C$11))</f>
        <v/>
      </c>
      <c r="AH62" s="93" t="str">
        <f>IF($R62&lt;&gt;"OK","",IF($F62&lt;=0,"",INT(IF($K62&lt;($F62*MAX(0,(Setup!$C$5-Setup!$C$7)-Setup!$C$4)),Setup!$C$4+$K62/$F62,IF($K62&lt;($F62*MAX(0,(Setup!$C$5-Setup!$C$7)-Setup!$C$4))+($F62*Setup!$C$8*MAX(0,Setup!$C$5-MAX((Setup!$C$5-Setup!$C$7),Setup!$C$4))),MAX((Setup!$C$5-Setup!$C$7),Setup!$C$4)+($K62-($F62*MAX(0,(Setup!$C$5-Setup!$C$7)-Setup!$C$4)))/($F62*Setup!$C$8),IF(AND($W62&gt;0,$K62&lt;($F62*MAX(0,(Setup!$C$5-Setup!$C$7)-Setup!$C$4))+($F62*Setup!$C$8*MAX(0,Setup!$C$5-MAX((Setup!$C$5-Setup!$C$7),Setup!$C$4)))+($W62/4*MAX(0,Setup!$C$5+4-MAX(Setup!$C$5,Setup!$C$4)))),MAX(Setup!$C$5,Setup!$C$4)+($K62-($F62*MAX(0,(Setup!$C$5-Setup!$C$7)-Setup!$C$4))-($F62*Setup!$C$8*MAX(0,Setup!$C$5-MAX((Setup!$C$5-Setup!$C$7),Setup!$C$4))))/($W62/4),MAX(Setup!$C$5+4,Setup!$C$4)+($K62-($F62*MAX(0,(Setup!$C$5-Setup!$C$7)-Setup!$C$4))-($F62*Setup!$C$8*MAX(0,Setup!$C$5-MAX((Setup!$C$5-Setup!$C$7),Setup!$C$4)))-($W62/4*MAX(0,Setup!$C$5+4-MAX(Setup!$C$5,Setup!$C$4))))/($F62*Setup!$C$14)))))))</f>
        <v/>
      </c>
      <c r="AI62" s="79" t="str">
        <f>IF($R62&lt;&gt;"OK","",IF(AND($L62&lt;&gt;"",$L62&gt;0,ISNUMBER($AH62),$M62&gt;$AH62),"Runs out before the incoming delivery arrives",IF($AB62=0,"OK",IF($K62+IF(AND($L62&lt;&gt;"",$L62&gt;0),IF($M62&lt;=$AG62,$L62,0),0)&lt;($F62*MAX(0,MIN($AG62,(Setup!$C$5-Setup!$C$7))-Setup!$C$4)+$F62*Setup!$C$8*MAX(0,MIN($AG62,Setup!$C$5)-MAX((Setup!$C$5-Setup!$C$7),Setup!$C$4))+$W62/4*MAX(0,MIN($AG62,Setup!$C$5+4)-MAX(Setup!$C$5,Setup!$C$4))+$F62*Setup!$C$14*MAX(0,$AG62-MAX(Setup!$C$5+4,Setup!$C$4))),"Runs out before this order can land","OK"))))</f>
        <v/>
      </c>
      <c r="AJ62" s="78" t="str">
        <f>IF($R62&lt;&gt;"OK","",IF($AB62=0,0,IF($AL62="Too slow: send it all fast",$AB62,$AR62)))</f>
        <v/>
      </c>
      <c r="AK62" s="78" t="str">
        <f>IF($R62&lt;&gt;"OK","",$AB62-$AJ62)</f>
        <v/>
      </c>
      <c r="AL62" s="78" t="str">
        <f>IF($R62&lt;&gt;"OK","",IF($AB62=0,"",IF($AB62-$AR62=0,"Nothing left over",IF($O62="Domestic",IF($AG62&lt;=Setup!$C$6+Setup!$C$20+1,"Later units can go by Domestic","Too slow: send it all fast"),IF($AS62+$N62+Setup!$C$25+Setup!$C$11&lt;=Setup!$C$6+Setup!$C$20+1,"Later units can go by Ocean long",IF($AS62+$N62+Setup!$C$26+Setup!$C$11&lt;=Setup!$C$6+Setup!$C$20+1,"Later units can go by Ocean short",IF($AS62+$N62+Setup!$C$27+Setup!$C$11&lt;=Setup!$C$6+Setup!$C$20+1,"Later units can go by Air",IF($AS62+$N62+Setup!$C$28+Setup!$C$11&lt;=Setup!$C$6+Setup!$C$20+1,"Later units can go by Express","Too slow: send it all fast"))))))))</f>
        <v/>
      </c>
      <c r="AM62" s="94" t="str">
        <f>IF($R62&lt;&gt;"OK","",$E62-$D62)</f>
        <v/>
      </c>
      <c r="AN62" s="95" t="str">
        <f>IF($R62&lt;&gt;"OK","",($E62-$D62)/$D62)</f>
        <v/>
      </c>
      <c r="AO62" s="95" t="str">
        <f>IF($R62&lt;&gt;"OK","",IF($AB62&gt;0,$AN62+IF($C62="Evergreen",1000,0),""))</f>
        <v/>
      </c>
      <c r="AP62" s="78" t="str">
        <f>IF(OR($R62&lt;&gt;"OK",$AO62=""),"",COUNTIF($AO$6:$AO$205,"&gt;"&amp;$AO62)+COUNTIF($AO$6:$AO62,$AO62))</f>
        <v/>
      </c>
      <c r="AQ62" s="78" t="str">
        <f>IF(OR($R62&lt;&gt;"OK",$AP62=""),"",INDEX('Buy list'!$G$5:$G$204,$AP62))</f>
        <v/>
      </c>
      <c r="AR62" s="78" t="str">
        <f>IF($R62&lt;&gt;"OK","",IF($AB62=0,0,MIN($AB62,CEILING(MAX(0,($F62*MAX(0,MIN((Setup!$C$6+1+Setup!$C$20),(Setup!$C$5-Setup!$C$7))-Setup!$C$4)+$F62*Setup!$C$8*MAX(0,MIN((Setup!$C$6+1+Setup!$C$20),Setup!$C$5)-MAX((Setup!$C$5-Setup!$C$7),Setup!$C$4))+$W62/4*MAX(0,MIN((Setup!$C$6+1+Setup!$C$20),Setup!$C$5+4)-MAX(Setup!$C$5,Setup!$C$4))+$F62*Setup!$C$14*MAX(0,(Setup!$C$6+1+Setup!$C$20)-MAX(Setup!$C$5+4,Setup!$C$4)))+$Y62-$K62-IF(AND($L62&lt;&gt;"",$L62&gt;0),IF($M62&lt;=Setup!$C$10,$L62,0),0)),IF(OR($P62="",$P62&lt;=0),1,$P62)))))</f>
        <v/>
      </c>
      <c r="AS62" s="96" t="str">
        <f>IF($R62&lt;&gt;"OK","",IF(AND($O62&lt;&gt;"Domestic",ISNUMBER(Setup!$C$22),Setup!$C$22&gt;Setup!$C$4),Setup!$C$22,Setup!$C$4))</f>
        <v/>
      </c>
      <c r="AT62" s="96" t="str">
        <f>IF($R62&lt;&gt;"OK","",IF($AB62=0,"",IF($O62="Domestic",$AG62,$AS62+$N62+Setup!$C$27+Setup!$C$11)))</f>
        <v/>
      </c>
    </row>
    <row r="63" ht="15" customHeight="1" s="46">
      <c r="A63" s="70" t="n"/>
      <c r="B63" s="70" t="n"/>
      <c r="C63" s="70" t="n"/>
      <c r="D63" s="85" t="n"/>
      <c r="E63" s="85" t="n"/>
      <c r="F63" s="86" t="n"/>
      <c r="G63" s="87" t="n"/>
      <c r="H63" s="88" t="n"/>
      <c r="I63" s="89" t="n"/>
      <c r="J63" s="90" t="n"/>
      <c r="K63" s="87" t="n"/>
      <c r="L63" s="87" t="n"/>
      <c r="M63" s="91" t="n"/>
      <c r="N63" s="92" t="n"/>
      <c r="O63" s="70" t="n"/>
      <c r="P63" s="92" t="n"/>
      <c r="Q63" s="87" t="n"/>
      <c r="R63" s="79" t="str">
        <f>IF($A63="","",IF($C63="","Missing: type",IF(OR($D63="",$D63&lt;=0),"Missing: unit cost",IF($E63="","Missing: unit price",IF($F63="","Missing: daily sales",IF($K63="","Missing: on hand",IF($N63="","Missing: production days",IF($O63="","Missing: freight mode",IF(ISNA(MATCH($O63,Setup!$B$25:$B$29,0)),"Unknown freight mode",IF(AND($L63&lt;&gt;"",$L63&gt;0,$M63=""),"Missing: on-order arrival date","OK"))))))))))</f>
        <v/>
      </c>
      <c r="S63" s="78" t="str">
        <f>IF($R63&lt;&gt;"OK","",IF($G63="","",ROUND($G63/IF(OR($H63="",$H63&lt;=0),4,$H63)*4,0)))</f>
        <v/>
      </c>
      <c r="T63" s="78" t="str">
        <f>IF($R63&lt;&gt;"OK","",ROUND(IF($G63="",$F63*4*Setup!$C$19,$G63/IF(OR($H63="",$H63&lt;=0),4,$H63)*4*(1+IF($I63="",Setup!$C$16,$I63)))*IF($J63="",1,$J63),0))</f>
        <v/>
      </c>
      <c r="U63" s="78" t="str">
        <f>IF($R63&lt;&gt;"OK","",ROUND($T63*Setup!$C$17,0))</f>
        <v/>
      </c>
      <c r="V63" s="78" t="str">
        <f>IF($R63&lt;&gt;"OK","",ROUND($T63*Setup!$C$18,0))</f>
        <v/>
      </c>
      <c r="W63" s="78" t="str">
        <f>IF($R63&lt;&gt;"OK","",IF($C63="Evergreen",$V63,IF($C63="Seasonal or new",$U63,$T63)))</f>
        <v/>
      </c>
      <c r="X63" s="78" t="str">
        <f>IF($R63&lt;&gt;"OK","",ROUND(($F63*MAX(0,MIN(Setup!$C$13+1,(Setup!$C$5-Setup!$C$7))-Setup!$C$4)+$F63*Setup!$C$8*MAX(0,MIN(Setup!$C$13+1,Setup!$C$5)-MAX((Setup!$C$5-Setup!$C$7),Setup!$C$4))+$W63/4*MAX(0,MIN(Setup!$C$13+1,Setup!$C$5+4)-MAX(Setup!$C$5,Setup!$C$4))+$F63*Setup!$C$14*MAX(0,Setup!$C$13+1-MAX(Setup!$C$5+4,Setup!$C$4))),0))</f>
        <v/>
      </c>
      <c r="Y63" s="78" t="str">
        <f>IF($R63&lt;&gt;"OK","",ROUND($F63*Setup!$C$15,0))</f>
        <v/>
      </c>
      <c r="Z63" s="78" t="str">
        <f>IF($R63&lt;&gt;"OK","",IF(AND($L63&lt;&gt;"",$L63&gt;0),IF($M63&lt;=Setup!$C$13,$L63,0),0))</f>
        <v/>
      </c>
      <c r="AA63" s="78" t="str">
        <f>IF($R63&lt;&gt;"OK","",MAX(0,$X63+$Y63-$K63-$Z63))</f>
        <v/>
      </c>
      <c r="AB63" s="78" t="str">
        <f>IF($R63&lt;&gt;"OK","",IF($AA63=0,0,CEILING(MAX($AA63,IF($Q63="",0,$Q63)),IF(OR($P63="",$P63&lt;=0),1,$P63))))</f>
        <v/>
      </c>
      <c r="AC63" s="78" t="str">
        <f>IF($R63&lt;&gt;"OK","",$AB63*$D63)</f>
        <v/>
      </c>
      <c r="AD63" s="93" t="str">
        <f>IF($R63&lt;&gt;"OK","",INDEX(Setup!$D$25:$D$29,MATCH($O63,Setup!$B$25:$B$29,0)))</f>
        <v/>
      </c>
      <c r="AE63" s="93" t="str">
        <f>IF($R63&lt;&gt;"OK","",$AD63-$N63)</f>
        <v/>
      </c>
      <c r="AF63" s="79" t="str">
        <f>IF($R63&lt;&gt;"OK","",IF($AB63=0,"No order needed",IF($AE63&gt;=$AS63,"Order by the deadline",IF(AND($O63&lt;&gt;"Domestic",Setup!$D$27-$N63&gt;=$AS63),"Late by this mode: fly it",IF(Setup!$D$28-$N63&gt;=$AS63,"Late: Express courier only",IF($AG63&lt;Setup!$C$5,"Tight: lands before Black Friday",IF(AND($O63&lt;&gt;"Domestic",$AT63&lt;Setup!$C$5),"Tight: by Air lands before Black Friday",IF($AS63+$N63+Setup!$C$28+Setup!$C$11&lt;Setup!$C$5,"Tight: by Express lands before Black Friday","Too late: ration"))))))))</f>
        <v/>
      </c>
      <c r="AG63" s="93" t="str">
        <f>IF($R63&lt;&gt;"OK","",IF($AB63=0,"",$AS63+$N63+INDEX(Setup!$C$25:$C$29,MATCH($O63,Setup!$B$25:$B$29,0))+Setup!$C$11))</f>
        <v/>
      </c>
      <c r="AH63" s="93" t="str">
        <f>IF($R63&lt;&gt;"OK","",IF($F63&lt;=0,"",INT(IF($K63&lt;($F63*MAX(0,(Setup!$C$5-Setup!$C$7)-Setup!$C$4)),Setup!$C$4+$K63/$F63,IF($K63&lt;($F63*MAX(0,(Setup!$C$5-Setup!$C$7)-Setup!$C$4))+($F63*Setup!$C$8*MAX(0,Setup!$C$5-MAX((Setup!$C$5-Setup!$C$7),Setup!$C$4))),MAX((Setup!$C$5-Setup!$C$7),Setup!$C$4)+($K63-($F63*MAX(0,(Setup!$C$5-Setup!$C$7)-Setup!$C$4)))/($F63*Setup!$C$8),IF(AND($W63&gt;0,$K63&lt;($F63*MAX(0,(Setup!$C$5-Setup!$C$7)-Setup!$C$4))+($F63*Setup!$C$8*MAX(0,Setup!$C$5-MAX((Setup!$C$5-Setup!$C$7),Setup!$C$4)))+($W63/4*MAX(0,Setup!$C$5+4-MAX(Setup!$C$5,Setup!$C$4)))),MAX(Setup!$C$5,Setup!$C$4)+($K63-($F63*MAX(0,(Setup!$C$5-Setup!$C$7)-Setup!$C$4))-($F63*Setup!$C$8*MAX(0,Setup!$C$5-MAX((Setup!$C$5-Setup!$C$7),Setup!$C$4))))/($W63/4),MAX(Setup!$C$5+4,Setup!$C$4)+($K63-($F63*MAX(0,(Setup!$C$5-Setup!$C$7)-Setup!$C$4))-($F63*Setup!$C$8*MAX(0,Setup!$C$5-MAX((Setup!$C$5-Setup!$C$7),Setup!$C$4)))-($W63/4*MAX(0,Setup!$C$5+4-MAX(Setup!$C$5,Setup!$C$4))))/($F63*Setup!$C$14)))))))</f>
        <v/>
      </c>
      <c r="AI63" s="79" t="str">
        <f>IF($R63&lt;&gt;"OK","",IF(AND($L63&lt;&gt;"",$L63&gt;0,ISNUMBER($AH63),$M63&gt;$AH63),"Runs out before the incoming delivery arrives",IF($AB63=0,"OK",IF($K63+IF(AND($L63&lt;&gt;"",$L63&gt;0),IF($M63&lt;=$AG63,$L63,0),0)&lt;($F63*MAX(0,MIN($AG63,(Setup!$C$5-Setup!$C$7))-Setup!$C$4)+$F63*Setup!$C$8*MAX(0,MIN($AG63,Setup!$C$5)-MAX((Setup!$C$5-Setup!$C$7),Setup!$C$4))+$W63/4*MAX(0,MIN($AG63,Setup!$C$5+4)-MAX(Setup!$C$5,Setup!$C$4))+$F63*Setup!$C$14*MAX(0,$AG63-MAX(Setup!$C$5+4,Setup!$C$4))),"Runs out before this order can land","OK"))))</f>
        <v/>
      </c>
      <c r="AJ63" s="78" t="str">
        <f>IF($R63&lt;&gt;"OK","",IF($AB63=0,0,IF($AL63="Too slow: send it all fast",$AB63,$AR63)))</f>
        <v/>
      </c>
      <c r="AK63" s="78" t="str">
        <f>IF($R63&lt;&gt;"OK","",$AB63-$AJ63)</f>
        <v/>
      </c>
      <c r="AL63" s="78" t="str">
        <f>IF($R63&lt;&gt;"OK","",IF($AB63=0,"",IF($AB63-$AR63=0,"Nothing left over",IF($O63="Domestic",IF($AG63&lt;=Setup!$C$6+Setup!$C$20+1,"Later units can go by Domestic","Too slow: send it all fast"),IF($AS63+$N63+Setup!$C$25+Setup!$C$11&lt;=Setup!$C$6+Setup!$C$20+1,"Later units can go by Ocean long",IF($AS63+$N63+Setup!$C$26+Setup!$C$11&lt;=Setup!$C$6+Setup!$C$20+1,"Later units can go by Ocean short",IF($AS63+$N63+Setup!$C$27+Setup!$C$11&lt;=Setup!$C$6+Setup!$C$20+1,"Later units can go by Air",IF($AS63+$N63+Setup!$C$28+Setup!$C$11&lt;=Setup!$C$6+Setup!$C$20+1,"Later units can go by Express","Too slow: send it all fast"))))))))</f>
        <v/>
      </c>
      <c r="AM63" s="94" t="str">
        <f>IF($R63&lt;&gt;"OK","",$E63-$D63)</f>
        <v/>
      </c>
      <c r="AN63" s="95" t="str">
        <f>IF($R63&lt;&gt;"OK","",($E63-$D63)/$D63)</f>
        <v/>
      </c>
      <c r="AO63" s="95" t="str">
        <f>IF($R63&lt;&gt;"OK","",IF($AB63&gt;0,$AN63+IF($C63="Evergreen",1000,0),""))</f>
        <v/>
      </c>
      <c r="AP63" s="78" t="str">
        <f>IF(OR($R63&lt;&gt;"OK",$AO63=""),"",COUNTIF($AO$6:$AO$205,"&gt;"&amp;$AO63)+COUNTIF($AO$6:$AO63,$AO63))</f>
        <v/>
      </c>
      <c r="AQ63" s="78" t="str">
        <f>IF(OR($R63&lt;&gt;"OK",$AP63=""),"",INDEX('Buy list'!$G$5:$G$204,$AP63))</f>
        <v/>
      </c>
      <c r="AR63" s="78" t="str">
        <f>IF($R63&lt;&gt;"OK","",IF($AB63=0,0,MIN($AB63,CEILING(MAX(0,($F63*MAX(0,MIN((Setup!$C$6+1+Setup!$C$20),(Setup!$C$5-Setup!$C$7))-Setup!$C$4)+$F63*Setup!$C$8*MAX(0,MIN((Setup!$C$6+1+Setup!$C$20),Setup!$C$5)-MAX((Setup!$C$5-Setup!$C$7),Setup!$C$4))+$W63/4*MAX(0,MIN((Setup!$C$6+1+Setup!$C$20),Setup!$C$5+4)-MAX(Setup!$C$5,Setup!$C$4))+$F63*Setup!$C$14*MAX(0,(Setup!$C$6+1+Setup!$C$20)-MAX(Setup!$C$5+4,Setup!$C$4)))+$Y63-$K63-IF(AND($L63&lt;&gt;"",$L63&gt;0),IF($M63&lt;=Setup!$C$10,$L63,0),0)),IF(OR($P63="",$P63&lt;=0),1,$P63)))))</f>
        <v/>
      </c>
      <c r="AS63" s="96" t="str">
        <f>IF($R63&lt;&gt;"OK","",IF(AND($O63&lt;&gt;"Domestic",ISNUMBER(Setup!$C$22),Setup!$C$22&gt;Setup!$C$4),Setup!$C$22,Setup!$C$4))</f>
        <v/>
      </c>
      <c r="AT63" s="96" t="str">
        <f>IF($R63&lt;&gt;"OK","",IF($AB63=0,"",IF($O63="Domestic",$AG63,$AS63+$N63+Setup!$C$27+Setup!$C$11)))</f>
        <v/>
      </c>
    </row>
    <row r="64" ht="15" customHeight="1" s="46">
      <c r="A64" s="70" t="n"/>
      <c r="B64" s="70" t="n"/>
      <c r="C64" s="70" t="n"/>
      <c r="D64" s="85" t="n"/>
      <c r="E64" s="85" t="n"/>
      <c r="F64" s="86" t="n"/>
      <c r="G64" s="87" t="n"/>
      <c r="H64" s="88" t="n"/>
      <c r="I64" s="89" t="n"/>
      <c r="J64" s="90" t="n"/>
      <c r="K64" s="87" t="n"/>
      <c r="L64" s="87" t="n"/>
      <c r="M64" s="91" t="n"/>
      <c r="N64" s="92" t="n"/>
      <c r="O64" s="70" t="n"/>
      <c r="P64" s="92" t="n"/>
      <c r="Q64" s="87" t="n"/>
      <c r="R64" s="79" t="str">
        <f>IF($A64="","",IF($C64="","Missing: type",IF(OR($D64="",$D64&lt;=0),"Missing: unit cost",IF($E64="","Missing: unit price",IF($F64="","Missing: daily sales",IF($K64="","Missing: on hand",IF($N64="","Missing: production days",IF($O64="","Missing: freight mode",IF(ISNA(MATCH($O64,Setup!$B$25:$B$29,0)),"Unknown freight mode",IF(AND($L64&lt;&gt;"",$L64&gt;0,$M64=""),"Missing: on-order arrival date","OK"))))))))))</f>
        <v/>
      </c>
      <c r="S64" s="78" t="str">
        <f>IF($R64&lt;&gt;"OK","",IF($G64="","",ROUND($G64/IF(OR($H64="",$H64&lt;=0),4,$H64)*4,0)))</f>
        <v/>
      </c>
      <c r="T64" s="78" t="str">
        <f>IF($R64&lt;&gt;"OK","",ROUND(IF($G64="",$F64*4*Setup!$C$19,$G64/IF(OR($H64="",$H64&lt;=0),4,$H64)*4*(1+IF($I64="",Setup!$C$16,$I64)))*IF($J64="",1,$J64),0))</f>
        <v/>
      </c>
      <c r="U64" s="78" t="str">
        <f>IF($R64&lt;&gt;"OK","",ROUND($T64*Setup!$C$17,0))</f>
        <v/>
      </c>
      <c r="V64" s="78" t="str">
        <f>IF($R64&lt;&gt;"OK","",ROUND($T64*Setup!$C$18,0))</f>
        <v/>
      </c>
      <c r="W64" s="78" t="str">
        <f>IF($R64&lt;&gt;"OK","",IF($C64="Evergreen",$V64,IF($C64="Seasonal or new",$U64,$T64)))</f>
        <v/>
      </c>
      <c r="X64" s="78" t="str">
        <f>IF($R64&lt;&gt;"OK","",ROUND(($F64*MAX(0,MIN(Setup!$C$13+1,(Setup!$C$5-Setup!$C$7))-Setup!$C$4)+$F64*Setup!$C$8*MAX(0,MIN(Setup!$C$13+1,Setup!$C$5)-MAX((Setup!$C$5-Setup!$C$7),Setup!$C$4))+$W64/4*MAX(0,MIN(Setup!$C$13+1,Setup!$C$5+4)-MAX(Setup!$C$5,Setup!$C$4))+$F64*Setup!$C$14*MAX(0,Setup!$C$13+1-MAX(Setup!$C$5+4,Setup!$C$4))),0))</f>
        <v/>
      </c>
      <c r="Y64" s="78" t="str">
        <f>IF($R64&lt;&gt;"OK","",ROUND($F64*Setup!$C$15,0))</f>
        <v/>
      </c>
      <c r="Z64" s="78" t="str">
        <f>IF($R64&lt;&gt;"OK","",IF(AND($L64&lt;&gt;"",$L64&gt;0),IF($M64&lt;=Setup!$C$13,$L64,0),0))</f>
        <v/>
      </c>
      <c r="AA64" s="78" t="str">
        <f>IF($R64&lt;&gt;"OK","",MAX(0,$X64+$Y64-$K64-$Z64))</f>
        <v/>
      </c>
      <c r="AB64" s="78" t="str">
        <f>IF($R64&lt;&gt;"OK","",IF($AA64=0,0,CEILING(MAX($AA64,IF($Q64="",0,$Q64)),IF(OR($P64="",$P64&lt;=0),1,$P64))))</f>
        <v/>
      </c>
      <c r="AC64" s="78" t="str">
        <f>IF($R64&lt;&gt;"OK","",$AB64*$D64)</f>
        <v/>
      </c>
      <c r="AD64" s="93" t="str">
        <f>IF($R64&lt;&gt;"OK","",INDEX(Setup!$D$25:$D$29,MATCH($O64,Setup!$B$25:$B$29,0)))</f>
        <v/>
      </c>
      <c r="AE64" s="93" t="str">
        <f>IF($R64&lt;&gt;"OK","",$AD64-$N64)</f>
        <v/>
      </c>
      <c r="AF64" s="79" t="str">
        <f>IF($R64&lt;&gt;"OK","",IF($AB64=0,"No order needed",IF($AE64&gt;=$AS64,"Order by the deadline",IF(AND($O64&lt;&gt;"Domestic",Setup!$D$27-$N64&gt;=$AS64),"Late by this mode: fly it",IF(Setup!$D$28-$N64&gt;=$AS64,"Late: Express courier only",IF($AG64&lt;Setup!$C$5,"Tight: lands before Black Friday",IF(AND($O64&lt;&gt;"Domestic",$AT64&lt;Setup!$C$5),"Tight: by Air lands before Black Friday",IF($AS64+$N64+Setup!$C$28+Setup!$C$11&lt;Setup!$C$5,"Tight: by Express lands before Black Friday","Too late: ration"))))))))</f>
        <v/>
      </c>
      <c r="AG64" s="93" t="str">
        <f>IF($R64&lt;&gt;"OK","",IF($AB64=0,"",$AS64+$N64+INDEX(Setup!$C$25:$C$29,MATCH($O64,Setup!$B$25:$B$29,0))+Setup!$C$11))</f>
        <v/>
      </c>
      <c r="AH64" s="93" t="str">
        <f>IF($R64&lt;&gt;"OK","",IF($F64&lt;=0,"",INT(IF($K64&lt;($F64*MAX(0,(Setup!$C$5-Setup!$C$7)-Setup!$C$4)),Setup!$C$4+$K64/$F64,IF($K64&lt;($F64*MAX(0,(Setup!$C$5-Setup!$C$7)-Setup!$C$4))+($F64*Setup!$C$8*MAX(0,Setup!$C$5-MAX((Setup!$C$5-Setup!$C$7),Setup!$C$4))),MAX((Setup!$C$5-Setup!$C$7),Setup!$C$4)+($K64-($F64*MAX(0,(Setup!$C$5-Setup!$C$7)-Setup!$C$4)))/($F64*Setup!$C$8),IF(AND($W64&gt;0,$K64&lt;($F64*MAX(0,(Setup!$C$5-Setup!$C$7)-Setup!$C$4))+($F64*Setup!$C$8*MAX(0,Setup!$C$5-MAX((Setup!$C$5-Setup!$C$7),Setup!$C$4)))+($W64/4*MAX(0,Setup!$C$5+4-MAX(Setup!$C$5,Setup!$C$4)))),MAX(Setup!$C$5,Setup!$C$4)+($K64-($F64*MAX(0,(Setup!$C$5-Setup!$C$7)-Setup!$C$4))-($F64*Setup!$C$8*MAX(0,Setup!$C$5-MAX((Setup!$C$5-Setup!$C$7),Setup!$C$4))))/($W64/4),MAX(Setup!$C$5+4,Setup!$C$4)+($K64-($F64*MAX(0,(Setup!$C$5-Setup!$C$7)-Setup!$C$4))-($F64*Setup!$C$8*MAX(0,Setup!$C$5-MAX((Setup!$C$5-Setup!$C$7),Setup!$C$4)))-($W64/4*MAX(0,Setup!$C$5+4-MAX(Setup!$C$5,Setup!$C$4))))/($F64*Setup!$C$14)))))))</f>
        <v/>
      </c>
      <c r="AI64" s="79" t="str">
        <f>IF($R64&lt;&gt;"OK","",IF(AND($L64&lt;&gt;"",$L64&gt;0,ISNUMBER($AH64),$M64&gt;$AH64),"Runs out before the incoming delivery arrives",IF($AB64=0,"OK",IF($K64+IF(AND($L64&lt;&gt;"",$L64&gt;0),IF($M64&lt;=$AG64,$L64,0),0)&lt;($F64*MAX(0,MIN($AG64,(Setup!$C$5-Setup!$C$7))-Setup!$C$4)+$F64*Setup!$C$8*MAX(0,MIN($AG64,Setup!$C$5)-MAX((Setup!$C$5-Setup!$C$7),Setup!$C$4))+$W64/4*MAX(0,MIN($AG64,Setup!$C$5+4)-MAX(Setup!$C$5,Setup!$C$4))+$F64*Setup!$C$14*MAX(0,$AG64-MAX(Setup!$C$5+4,Setup!$C$4))),"Runs out before this order can land","OK"))))</f>
        <v/>
      </c>
      <c r="AJ64" s="78" t="str">
        <f>IF($R64&lt;&gt;"OK","",IF($AB64=0,0,IF($AL64="Too slow: send it all fast",$AB64,$AR64)))</f>
        <v/>
      </c>
      <c r="AK64" s="78" t="str">
        <f>IF($R64&lt;&gt;"OK","",$AB64-$AJ64)</f>
        <v/>
      </c>
      <c r="AL64" s="78" t="str">
        <f>IF($R64&lt;&gt;"OK","",IF($AB64=0,"",IF($AB64-$AR64=0,"Nothing left over",IF($O64="Domestic",IF($AG64&lt;=Setup!$C$6+Setup!$C$20+1,"Later units can go by Domestic","Too slow: send it all fast"),IF($AS64+$N64+Setup!$C$25+Setup!$C$11&lt;=Setup!$C$6+Setup!$C$20+1,"Later units can go by Ocean long",IF($AS64+$N64+Setup!$C$26+Setup!$C$11&lt;=Setup!$C$6+Setup!$C$20+1,"Later units can go by Ocean short",IF($AS64+$N64+Setup!$C$27+Setup!$C$11&lt;=Setup!$C$6+Setup!$C$20+1,"Later units can go by Air",IF($AS64+$N64+Setup!$C$28+Setup!$C$11&lt;=Setup!$C$6+Setup!$C$20+1,"Later units can go by Express","Too slow: send it all fast"))))))))</f>
        <v/>
      </c>
      <c r="AM64" s="94" t="str">
        <f>IF($R64&lt;&gt;"OK","",$E64-$D64)</f>
        <v/>
      </c>
      <c r="AN64" s="95" t="str">
        <f>IF($R64&lt;&gt;"OK","",($E64-$D64)/$D64)</f>
        <v/>
      </c>
      <c r="AO64" s="95" t="str">
        <f>IF($R64&lt;&gt;"OK","",IF($AB64&gt;0,$AN64+IF($C64="Evergreen",1000,0),""))</f>
        <v/>
      </c>
      <c r="AP64" s="78" t="str">
        <f>IF(OR($R64&lt;&gt;"OK",$AO64=""),"",COUNTIF($AO$6:$AO$205,"&gt;"&amp;$AO64)+COUNTIF($AO$6:$AO64,$AO64))</f>
        <v/>
      </c>
      <c r="AQ64" s="78" t="str">
        <f>IF(OR($R64&lt;&gt;"OK",$AP64=""),"",INDEX('Buy list'!$G$5:$G$204,$AP64))</f>
        <v/>
      </c>
      <c r="AR64" s="78" t="str">
        <f>IF($R64&lt;&gt;"OK","",IF($AB64=0,0,MIN($AB64,CEILING(MAX(0,($F64*MAX(0,MIN((Setup!$C$6+1+Setup!$C$20),(Setup!$C$5-Setup!$C$7))-Setup!$C$4)+$F64*Setup!$C$8*MAX(0,MIN((Setup!$C$6+1+Setup!$C$20),Setup!$C$5)-MAX((Setup!$C$5-Setup!$C$7),Setup!$C$4))+$W64/4*MAX(0,MIN((Setup!$C$6+1+Setup!$C$20),Setup!$C$5+4)-MAX(Setup!$C$5,Setup!$C$4))+$F64*Setup!$C$14*MAX(0,(Setup!$C$6+1+Setup!$C$20)-MAX(Setup!$C$5+4,Setup!$C$4)))+$Y64-$K64-IF(AND($L64&lt;&gt;"",$L64&gt;0),IF($M64&lt;=Setup!$C$10,$L64,0),0)),IF(OR($P64="",$P64&lt;=0),1,$P64)))))</f>
        <v/>
      </c>
      <c r="AS64" s="96" t="str">
        <f>IF($R64&lt;&gt;"OK","",IF(AND($O64&lt;&gt;"Domestic",ISNUMBER(Setup!$C$22),Setup!$C$22&gt;Setup!$C$4),Setup!$C$22,Setup!$C$4))</f>
        <v/>
      </c>
      <c r="AT64" s="96" t="str">
        <f>IF($R64&lt;&gt;"OK","",IF($AB64=0,"",IF($O64="Domestic",$AG64,$AS64+$N64+Setup!$C$27+Setup!$C$11)))</f>
        <v/>
      </c>
    </row>
    <row r="65" ht="15" customHeight="1" s="46">
      <c r="A65" s="70" t="n"/>
      <c r="B65" s="70" t="n"/>
      <c r="C65" s="70" t="n"/>
      <c r="D65" s="85" t="n"/>
      <c r="E65" s="85" t="n"/>
      <c r="F65" s="86" t="n"/>
      <c r="G65" s="87" t="n"/>
      <c r="H65" s="88" t="n"/>
      <c r="I65" s="89" t="n"/>
      <c r="J65" s="90" t="n"/>
      <c r="K65" s="87" t="n"/>
      <c r="L65" s="87" t="n"/>
      <c r="M65" s="91" t="n"/>
      <c r="N65" s="92" t="n"/>
      <c r="O65" s="70" t="n"/>
      <c r="P65" s="92" t="n"/>
      <c r="Q65" s="87" t="n"/>
      <c r="R65" s="79" t="str">
        <f>IF($A65="","",IF($C65="","Missing: type",IF(OR($D65="",$D65&lt;=0),"Missing: unit cost",IF($E65="","Missing: unit price",IF($F65="","Missing: daily sales",IF($K65="","Missing: on hand",IF($N65="","Missing: production days",IF($O65="","Missing: freight mode",IF(ISNA(MATCH($O65,Setup!$B$25:$B$29,0)),"Unknown freight mode",IF(AND($L65&lt;&gt;"",$L65&gt;0,$M65=""),"Missing: on-order arrival date","OK"))))))))))</f>
        <v/>
      </c>
      <c r="S65" s="78" t="str">
        <f>IF($R65&lt;&gt;"OK","",IF($G65="","",ROUND($G65/IF(OR($H65="",$H65&lt;=0),4,$H65)*4,0)))</f>
        <v/>
      </c>
      <c r="T65" s="78" t="str">
        <f>IF($R65&lt;&gt;"OK","",ROUND(IF($G65="",$F65*4*Setup!$C$19,$G65/IF(OR($H65="",$H65&lt;=0),4,$H65)*4*(1+IF($I65="",Setup!$C$16,$I65)))*IF($J65="",1,$J65),0))</f>
        <v/>
      </c>
      <c r="U65" s="78" t="str">
        <f>IF($R65&lt;&gt;"OK","",ROUND($T65*Setup!$C$17,0))</f>
        <v/>
      </c>
      <c r="V65" s="78" t="str">
        <f>IF($R65&lt;&gt;"OK","",ROUND($T65*Setup!$C$18,0))</f>
        <v/>
      </c>
      <c r="W65" s="78" t="str">
        <f>IF($R65&lt;&gt;"OK","",IF($C65="Evergreen",$V65,IF($C65="Seasonal or new",$U65,$T65)))</f>
        <v/>
      </c>
      <c r="X65" s="78" t="str">
        <f>IF($R65&lt;&gt;"OK","",ROUND(($F65*MAX(0,MIN(Setup!$C$13+1,(Setup!$C$5-Setup!$C$7))-Setup!$C$4)+$F65*Setup!$C$8*MAX(0,MIN(Setup!$C$13+1,Setup!$C$5)-MAX((Setup!$C$5-Setup!$C$7),Setup!$C$4))+$W65/4*MAX(0,MIN(Setup!$C$13+1,Setup!$C$5+4)-MAX(Setup!$C$5,Setup!$C$4))+$F65*Setup!$C$14*MAX(0,Setup!$C$13+1-MAX(Setup!$C$5+4,Setup!$C$4))),0))</f>
        <v/>
      </c>
      <c r="Y65" s="78" t="str">
        <f>IF($R65&lt;&gt;"OK","",ROUND($F65*Setup!$C$15,0))</f>
        <v/>
      </c>
      <c r="Z65" s="78" t="str">
        <f>IF($R65&lt;&gt;"OK","",IF(AND($L65&lt;&gt;"",$L65&gt;0),IF($M65&lt;=Setup!$C$13,$L65,0),0))</f>
        <v/>
      </c>
      <c r="AA65" s="78" t="str">
        <f>IF($R65&lt;&gt;"OK","",MAX(0,$X65+$Y65-$K65-$Z65))</f>
        <v/>
      </c>
      <c r="AB65" s="78" t="str">
        <f>IF($R65&lt;&gt;"OK","",IF($AA65=0,0,CEILING(MAX($AA65,IF($Q65="",0,$Q65)),IF(OR($P65="",$P65&lt;=0),1,$P65))))</f>
        <v/>
      </c>
      <c r="AC65" s="78" t="str">
        <f>IF($R65&lt;&gt;"OK","",$AB65*$D65)</f>
        <v/>
      </c>
      <c r="AD65" s="93" t="str">
        <f>IF($R65&lt;&gt;"OK","",INDEX(Setup!$D$25:$D$29,MATCH($O65,Setup!$B$25:$B$29,0)))</f>
        <v/>
      </c>
      <c r="AE65" s="93" t="str">
        <f>IF($R65&lt;&gt;"OK","",$AD65-$N65)</f>
        <v/>
      </c>
      <c r="AF65" s="79" t="str">
        <f>IF($R65&lt;&gt;"OK","",IF($AB65=0,"No order needed",IF($AE65&gt;=$AS65,"Order by the deadline",IF(AND($O65&lt;&gt;"Domestic",Setup!$D$27-$N65&gt;=$AS65),"Late by this mode: fly it",IF(Setup!$D$28-$N65&gt;=$AS65,"Late: Express courier only",IF($AG65&lt;Setup!$C$5,"Tight: lands before Black Friday",IF(AND($O65&lt;&gt;"Domestic",$AT65&lt;Setup!$C$5),"Tight: by Air lands before Black Friday",IF($AS65+$N65+Setup!$C$28+Setup!$C$11&lt;Setup!$C$5,"Tight: by Express lands before Black Friday","Too late: ration"))))))))</f>
        <v/>
      </c>
      <c r="AG65" s="93" t="str">
        <f>IF($R65&lt;&gt;"OK","",IF($AB65=0,"",$AS65+$N65+INDEX(Setup!$C$25:$C$29,MATCH($O65,Setup!$B$25:$B$29,0))+Setup!$C$11))</f>
        <v/>
      </c>
      <c r="AH65" s="93" t="str">
        <f>IF($R65&lt;&gt;"OK","",IF($F65&lt;=0,"",INT(IF($K65&lt;($F65*MAX(0,(Setup!$C$5-Setup!$C$7)-Setup!$C$4)),Setup!$C$4+$K65/$F65,IF($K65&lt;($F65*MAX(0,(Setup!$C$5-Setup!$C$7)-Setup!$C$4))+($F65*Setup!$C$8*MAX(0,Setup!$C$5-MAX((Setup!$C$5-Setup!$C$7),Setup!$C$4))),MAX((Setup!$C$5-Setup!$C$7),Setup!$C$4)+($K65-($F65*MAX(0,(Setup!$C$5-Setup!$C$7)-Setup!$C$4)))/($F65*Setup!$C$8),IF(AND($W65&gt;0,$K65&lt;($F65*MAX(0,(Setup!$C$5-Setup!$C$7)-Setup!$C$4))+($F65*Setup!$C$8*MAX(0,Setup!$C$5-MAX((Setup!$C$5-Setup!$C$7),Setup!$C$4)))+($W65/4*MAX(0,Setup!$C$5+4-MAX(Setup!$C$5,Setup!$C$4)))),MAX(Setup!$C$5,Setup!$C$4)+($K65-($F65*MAX(0,(Setup!$C$5-Setup!$C$7)-Setup!$C$4))-($F65*Setup!$C$8*MAX(0,Setup!$C$5-MAX((Setup!$C$5-Setup!$C$7),Setup!$C$4))))/($W65/4),MAX(Setup!$C$5+4,Setup!$C$4)+($K65-($F65*MAX(0,(Setup!$C$5-Setup!$C$7)-Setup!$C$4))-($F65*Setup!$C$8*MAX(0,Setup!$C$5-MAX((Setup!$C$5-Setup!$C$7),Setup!$C$4)))-($W65/4*MAX(0,Setup!$C$5+4-MAX(Setup!$C$5,Setup!$C$4))))/($F65*Setup!$C$14)))))))</f>
        <v/>
      </c>
      <c r="AI65" s="79" t="str">
        <f>IF($R65&lt;&gt;"OK","",IF(AND($L65&lt;&gt;"",$L65&gt;0,ISNUMBER($AH65),$M65&gt;$AH65),"Runs out before the incoming delivery arrives",IF($AB65=0,"OK",IF($K65+IF(AND($L65&lt;&gt;"",$L65&gt;0),IF($M65&lt;=$AG65,$L65,0),0)&lt;($F65*MAX(0,MIN($AG65,(Setup!$C$5-Setup!$C$7))-Setup!$C$4)+$F65*Setup!$C$8*MAX(0,MIN($AG65,Setup!$C$5)-MAX((Setup!$C$5-Setup!$C$7),Setup!$C$4))+$W65/4*MAX(0,MIN($AG65,Setup!$C$5+4)-MAX(Setup!$C$5,Setup!$C$4))+$F65*Setup!$C$14*MAX(0,$AG65-MAX(Setup!$C$5+4,Setup!$C$4))),"Runs out before this order can land","OK"))))</f>
        <v/>
      </c>
      <c r="AJ65" s="78" t="str">
        <f>IF($R65&lt;&gt;"OK","",IF($AB65=0,0,IF($AL65="Too slow: send it all fast",$AB65,$AR65)))</f>
        <v/>
      </c>
      <c r="AK65" s="78" t="str">
        <f>IF($R65&lt;&gt;"OK","",$AB65-$AJ65)</f>
        <v/>
      </c>
      <c r="AL65" s="78" t="str">
        <f>IF($R65&lt;&gt;"OK","",IF($AB65=0,"",IF($AB65-$AR65=0,"Nothing left over",IF($O65="Domestic",IF($AG65&lt;=Setup!$C$6+Setup!$C$20+1,"Later units can go by Domestic","Too slow: send it all fast"),IF($AS65+$N65+Setup!$C$25+Setup!$C$11&lt;=Setup!$C$6+Setup!$C$20+1,"Later units can go by Ocean long",IF($AS65+$N65+Setup!$C$26+Setup!$C$11&lt;=Setup!$C$6+Setup!$C$20+1,"Later units can go by Ocean short",IF($AS65+$N65+Setup!$C$27+Setup!$C$11&lt;=Setup!$C$6+Setup!$C$20+1,"Later units can go by Air",IF($AS65+$N65+Setup!$C$28+Setup!$C$11&lt;=Setup!$C$6+Setup!$C$20+1,"Later units can go by Express","Too slow: send it all fast"))))))))</f>
        <v/>
      </c>
      <c r="AM65" s="94" t="str">
        <f>IF($R65&lt;&gt;"OK","",$E65-$D65)</f>
        <v/>
      </c>
      <c r="AN65" s="95" t="str">
        <f>IF($R65&lt;&gt;"OK","",($E65-$D65)/$D65)</f>
        <v/>
      </c>
      <c r="AO65" s="95" t="str">
        <f>IF($R65&lt;&gt;"OK","",IF($AB65&gt;0,$AN65+IF($C65="Evergreen",1000,0),""))</f>
        <v/>
      </c>
      <c r="AP65" s="78" t="str">
        <f>IF(OR($R65&lt;&gt;"OK",$AO65=""),"",COUNTIF($AO$6:$AO$205,"&gt;"&amp;$AO65)+COUNTIF($AO$6:$AO65,$AO65))</f>
        <v/>
      </c>
      <c r="AQ65" s="78" t="str">
        <f>IF(OR($R65&lt;&gt;"OK",$AP65=""),"",INDEX('Buy list'!$G$5:$G$204,$AP65))</f>
        <v/>
      </c>
      <c r="AR65" s="78" t="str">
        <f>IF($R65&lt;&gt;"OK","",IF($AB65=0,0,MIN($AB65,CEILING(MAX(0,($F65*MAX(0,MIN((Setup!$C$6+1+Setup!$C$20),(Setup!$C$5-Setup!$C$7))-Setup!$C$4)+$F65*Setup!$C$8*MAX(0,MIN((Setup!$C$6+1+Setup!$C$20),Setup!$C$5)-MAX((Setup!$C$5-Setup!$C$7),Setup!$C$4))+$W65/4*MAX(0,MIN((Setup!$C$6+1+Setup!$C$20),Setup!$C$5+4)-MAX(Setup!$C$5,Setup!$C$4))+$F65*Setup!$C$14*MAX(0,(Setup!$C$6+1+Setup!$C$20)-MAX(Setup!$C$5+4,Setup!$C$4)))+$Y65-$K65-IF(AND($L65&lt;&gt;"",$L65&gt;0),IF($M65&lt;=Setup!$C$10,$L65,0),0)),IF(OR($P65="",$P65&lt;=0),1,$P65)))))</f>
        <v/>
      </c>
      <c r="AS65" s="96" t="str">
        <f>IF($R65&lt;&gt;"OK","",IF(AND($O65&lt;&gt;"Domestic",ISNUMBER(Setup!$C$22),Setup!$C$22&gt;Setup!$C$4),Setup!$C$22,Setup!$C$4))</f>
        <v/>
      </c>
      <c r="AT65" s="96" t="str">
        <f>IF($R65&lt;&gt;"OK","",IF($AB65=0,"",IF($O65="Domestic",$AG65,$AS65+$N65+Setup!$C$27+Setup!$C$11)))</f>
        <v/>
      </c>
    </row>
    <row r="66" ht="15" customHeight="1" s="46">
      <c r="A66" s="70" t="n"/>
      <c r="B66" s="70" t="n"/>
      <c r="C66" s="70" t="n"/>
      <c r="D66" s="85" t="n"/>
      <c r="E66" s="85" t="n"/>
      <c r="F66" s="86" t="n"/>
      <c r="G66" s="87" t="n"/>
      <c r="H66" s="88" t="n"/>
      <c r="I66" s="89" t="n"/>
      <c r="J66" s="90" t="n"/>
      <c r="K66" s="87" t="n"/>
      <c r="L66" s="87" t="n"/>
      <c r="M66" s="91" t="n"/>
      <c r="N66" s="92" t="n"/>
      <c r="O66" s="70" t="n"/>
      <c r="P66" s="92" t="n"/>
      <c r="Q66" s="87" t="n"/>
      <c r="R66" s="79" t="str">
        <f>IF($A66="","",IF($C66="","Missing: type",IF(OR($D66="",$D66&lt;=0),"Missing: unit cost",IF($E66="","Missing: unit price",IF($F66="","Missing: daily sales",IF($K66="","Missing: on hand",IF($N66="","Missing: production days",IF($O66="","Missing: freight mode",IF(ISNA(MATCH($O66,Setup!$B$25:$B$29,0)),"Unknown freight mode",IF(AND($L66&lt;&gt;"",$L66&gt;0,$M66=""),"Missing: on-order arrival date","OK"))))))))))</f>
        <v/>
      </c>
      <c r="S66" s="78" t="str">
        <f>IF($R66&lt;&gt;"OK","",IF($G66="","",ROUND($G66/IF(OR($H66="",$H66&lt;=0),4,$H66)*4,0)))</f>
        <v/>
      </c>
      <c r="T66" s="78" t="str">
        <f>IF($R66&lt;&gt;"OK","",ROUND(IF($G66="",$F66*4*Setup!$C$19,$G66/IF(OR($H66="",$H66&lt;=0),4,$H66)*4*(1+IF($I66="",Setup!$C$16,$I66)))*IF($J66="",1,$J66),0))</f>
        <v/>
      </c>
      <c r="U66" s="78" t="str">
        <f>IF($R66&lt;&gt;"OK","",ROUND($T66*Setup!$C$17,0))</f>
        <v/>
      </c>
      <c r="V66" s="78" t="str">
        <f>IF($R66&lt;&gt;"OK","",ROUND($T66*Setup!$C$18,0))</f>
        <v/>
      </c>
      <c r="W66" s="78" t="str">
        <f>IF($R66&lt;&gt;"OK","",IF($C66="Evergreen",$V66,IF($C66="Seasonal or new",$U66,$T66)))</f>
        <v/>
      </c>
      <c r="X66" s="78" t="str">
        <f>IF($R66&lt;&gt;"OK","",ROUND(($F66*MAX(0,MIN(Setup!$C$13+1,(Setup!$C$5-Setup!$C$7))-Setup!$C$4)+$F66*Setup!$C$8*MAX(0,MIN(Setup!$C$13+1,Setup!$C$5)-MAX((Setup!$C$5-Setup!$C$7),Setup!$C$4))+$W66/4*MAX(0,MIN(Setup!$C$13+1,Setup!$C$5+4)-MAX(Setup!$C$5,Setup!$C$4))+$F66*Setup!$C$14*MAX(0,Setup!$C$13+1-MAX(Setup!$C$5+4,Setup!$C$4))),0))</f>
        <v/>
      </c>
      <c r="Y66" s="78" t="str">
        <f>IF($R66&lt;&gt;"OK","",ROUND($F66*Setup!$C$15,0))</f>
        <v/>
      </c>
      <c r="Z66" s="78" t="str">
        <f>IF($R66&lt;&gt;"OK","",IF(AND($L66&lt;&gt;"",$L66&gt;0),IF($M66&lt;=Setup!$C$13,$L66,0),0))</f>
        <v/>
      </c>
      <c r="AA66" s="78" t="str">
        <f>IF($R66&lt;&gt;"OK","",MAX(0,$X66+$Y66-$K66-$Z66))</f>
        <v/>
      </c>
      <c r="AB66" s="78" t="str">
        <f>IF($R66&lt;&gt;"OK","",IF($AA66=0,0,CEILING(MAX($AA66,IF($Q66="",0,$Q66)),IF(OR($P66="",$P66&lt;=0),1,$P66))))</f>
        <v/>
      </c>
      <c r="AC66" s="78" t="str">
        <f>IF($R66&lt;&gt;"OK","",$AB66*$D66)</f>
        <v/>
      </c>
      <c r="AD66" s="93" t="str">
        <f>IF($R66&lt;&gt;"OK","",INDEX(Setup!$D$25:$D$29,MATCH($O66,Setup!$B$25:$B$29,0)))</f>
        <v/>
      </c>
      <c r="AE66" s="93" t="str">
        <f>IF($R66&lt;&gt;"OK","",$AD66-$N66)</f>
        <v/>
      </c>
      <c r="AF66" s="79" t="str">
        <f>IF($R66&lt;&gt;"OK","",IF($AB66=0,"No order needed",IF($AE66&gt;=$AS66,"Order by the deadline",IF(AND($O66&lt;&gt;"Domestic",Setup!$D$27-$N66&gt;=$AS66),"Late by this mode: fly it",IF(Setup!$D$28-$N66&gt;=$AS66,"Late: Express courier only",IF($AG66&lt;Setup!$C$5,"Tight: lands before Black Friday",IF(AND($O66&lt;&gt;"Domestic",$AT66&lt;Setup!$C$5),"Tight: by Air lands before Black Friday",IF($AS66+$N66+Setup!$C$28+Setup!$C$11&lt;Setup!$C$5,"Tight: by Express lands before Black Friday","Too late: ration"))))))))</f>
        <v/>
      </c>
      <c r="AG66" s="93" t="str">
        <f>IF($R66&lt;&gt;"OK","",IF($AB66=0,"",$AS66+$N66+INDEX(Setup!$C$25:$C$29,MATCH($O66,Setup!$B$25:$B$29,0))+Setup!$C$11))</f>
        <v/>
      </c>
      <c r="AH66" s="93" t="str">
        <f>IF($R66&lt;&gt;"OK","",IF($F66&lt;=0,"",INT(IF($K66&lt;($F66*MAX(0,(Setup!$C$5-Setup!$C$7)-Setup!$C$4)),Setup!$C$4+$K66/$F66,IF($K66&lt;($F66*MAX(0,(Setup!$C$5-Setup!$C$7)-Setup!$C$4))+($F66*Setup!$C$8*MAX(0,Setup!$C$5-MAX((Setup!$C$5-Setup!$C$7),Setup!$C$4))),MAX((Setup!$C$5-Setup!$C$7),Setup!$C$4)+($K66-($F66*MAX(0,(Setup!$C$5-Setup!$C$7)-Setup!$C$4)))/($F66*Setup!$C$8),IF(AND($W66&gt;0,$K66&lt;($F66*MAX(0,(Setup!$C$5-Setup!$C$7)-Setup!$C$4))+($F66*Setup!$C$8*MAX(0,Setup!$C$5-MAX((Setup!$C$5-Setup!$C$7),Setup!$C$4)))+($W66/4*MAX(0,Setup!$C$5+4-MAX(Setup!$C$5,Setup!$C$4)))),MAX(Setup!$C$5,Setup!$C$4)+($K66-($F66*MAX(0,(Setup!$C$5-Setup!$C$7)-Setup!$C$4))-($F66*Setup!$C$8*MAX(0,Setup!$C$5-MAX((Setup!$C$5-Setup!$C$7),Setup!$C$4))))/($W66/4),MAX(Setup!$C$5+4,Setup!$C$4)+($K66-($F66*MAX(0,(Setup!$C$5-Setup!$C$7)-Setup!$C$4))-($F66*Setup!$C$8*MAX(0,Setup!$C$5-MAX((Setup!$C$5-Setup!$C$7),Setup!$C$4)))-($W66/4*MAX(0,Setup!$C$5+4-MAX(Setup!$C$5,Setup!$C$4))))/($F66*Setup!$C$14)))))))</f>
        <v/>
      </c>
      <c r="AI66" s="79" t="str">
        <f>IF($R66&lt;&gt;"OK","",IF(AND($L66&lt;&gt;"",$L66&gt;0,ISNUMBER($AH66),$M66&gt;$AH66),"Runs out before the incoming delivery arrives",IF($AB66=0,"OK",IF($K66+IF(AND($L66&lt;&gt;"",$L66&gt;0),IF($M66&lt;=$AG66,$L66,0),0)&lt;($F66*MAX(0,MIN($AG66,(Setup!$C$5-Setup!$C$7))-Setup!$C$4)+$F66*Setup!$C$8*MAX(0,MIN($AG66,Setup!$C$5)-MAX((Setup!$C$5-Setup!$C$7),Setup!$C$4))+$W66/4*MAX(0,MIN($AG66,Setup!$C$5+4)-MAX(Setup!$C$5,Setup!$C$4))+$F66*Setup!$C$14*MAX(0,$AG66-MAX(Setup!$C$5+4,Setup!$C$4))),"Runs out before this order can land","OK"))))</f>
        <v/>
      </c>
      <c r="AJ66" s="78" t="str">
        <f>IF($R66&lt;&gt;"OK","",IF($AB66=0,0,IF($AL66="Too slow: send it all fast",$AB66,$AR66)))</f>
        <v/>
      </c>
      <c r="AK66" s="78" t="str">
        <f>IF($R66&lt;&gt;"OK","",$AB66-$AJ66)</f>
        <v/>
      </c>
      <c r="AL66" s="78" t="str">
        <f>IF($R66&lt;&gt;"OK","",IF($AB66=0,"",IF($AB66-$AR66=0,"Nothing left over",IF($O66="Domestic",IF($AG66&lt;=Setup!$C$6+Setup!$C$20+1,"Later units can go by Domestic","Too slow: send it all fast"),IF($AS66+$N66+Setup!$C$25+Setup!$C$11&lt;=Setup!$C$6+Setup!$C$20+1,"Later units can go by Ocean long",IF($AS66+$N66+Setup!$C$26+Setup!$C$11&lt;=Setup!$C$6+Setup!$C$20+1,"Later units can go by Ocean short",IF($AS66+$N66+Setup!$C$27+Setup!$C$11&lt;=Setup!$C$6+Setup!$C$20+1,"Later units can go by Air",IF($AS66+$N66+Setup!$C$28+Setup!$C$11&lt;=Setup!$C$6+Setup!$C$20+1,"Later units can go by Express","Too slow: send it all fast"))))))))</f>
        <v/>
      </c>
      <c r="AM66" s="94" t="str">
        <f>IF($R66&lt;&gt;"OK","",$E66-$D66)</f>
        <v/>
      </c>
      <c r="AN66" s="95" t="str">
        <f>IF($R66&lt;&gt;"OK","",($E66-$D66)/$D66)</f>
        <v/>
      </c>
      <c r="AO66" s="95" t="str">
        <f>IF($R66&lt;&gt;"OK","",IF($AB66&gt;0,$AN66+IF($C66="Evergreen",1000,0),""))</f>
        <v/>
      </c>
      <c r="AP66" s="78" t="str">
        <f>IF(OR($R66&lt;&gt;"OK",$AO66=""),"",COUNTIF($AO$6:$AO$205,"&gt;"&amp;$AO66)+COUNTIF($AO$6:$AO66,$AO66))</f>
        <v/>
      </c>
      <c r="AQ66" s="78" t="str">
        <f>IF(OR($R66&lt;&gt;"OK",$AP66=""),"",INDEX('Buy list'!$G$5:$G$204,$AP66))</f>
        <v/>
      </c>
      <c r="AR66" s="78" t="str">
        <f>IF($R66&lt;&gt;"OK","",IF($AB66=0,0,MIN($AB66,CEILING(MAX(0,($F66*MAX(0,MIN((Setup!$C$6+1+Setup!$C$20),(Setup!$C$5-Setup!$C$7))-Setup!$C$4)+$F66*Setup!$C$8*MAX(0,MIN((Setup!$C$6+1+Setup!$C$20),Setup!$C$5)-MAX((Setup!$C$5-Setup!$C$7),Setup!$C$4))+$W66/4*MAX(0,MIN((Setup!$C$6+1+Setup!$C$20),Setup!$C$5+4)-MAX(Setup!$C$5,Setup!$C$4))+$F66*Setup!$C$14*MAX(0,(Setup!$C$6+1+Setup!$C$20)-MAX(Setup!$C$5+4,Setup!$C$4)))+$Y66-$K66-IF(AND($L66&lt;&gt;"",$L66&gt;0),IF($M66&lt;=Setup!$C$10,$L66,0),0)),IF(OR($P66="",$P66&lt;=0),1,$P66)))))</f>
        <v/>
      </c>
      <c r="AS66" s="96" t="str">
        <f>IF($R66&lt;&gt;"OK","",IF(AND($O66&lt;&gt;"Domestic",ISNUMBER(Setup!$C$22),Setup!$C$22&gt;Setup!$C$4),Setup!$C$22,Setup!$C$4))</f>
        <v/>
      </c>
      <c r="AT66" s="96" t="str">
        <f>IF($R66&lt;&gt;"OK","",IF($AB66=0,"",IF($O66="Domestic",$AG66,$AS66+$N66+Setup!$C$27+Setup!$C$11)))</f>
        <v/>
      </c>
    </row>
    <row r="67" ht="15" customHeight="1" s="46">
      <c r="A67" s="70" t="n"/>
      <c r="B67" s="70" t="n"/>
      <c r="C67" s="70" t="n"/>
      <c r="D67" s="85" t="n"/>
      <c r="E67" s="85" t="n"/>
      <c r="F67" s="86" t="n"/>
      <c r="G67" s="87" t="n"/>
      <c r="H67" s="88" t="n"/>
      <c r="I67" s="89" t="n"/>
      <c r="J67" s="90" t="n"/>
      <c r="K67" s="87" t="n"/>
      <c r="L67" s="87" t="n"/>
      <c r="M67" s="91" t="n"/>
      <c r="N67" s="92" t="n"/>
      <c r="O67" s="70" t="n"/>
      <c r="P67" s="92" t="n"/>
      <c r="Q67" s="87" t="n"/>
      <c r="R67" s="79" t="str">
        <f>IF($A67="","",IF($C67="","Missing: type",IF(OR($D67="",$D67&lt;=0),"Missing: unit cost",IF($E67="","Missing: unit price",IF($F67="","Missing: daily sales",IF($K67="","Missing: on hand",IF($N67="","Missing: production days",IF($O67="","Missing: freight mode",IF(ISNA(MATCH($O67,Setup!$B$25:$B$29,0)),"Unknown freight mode",IF(AND($L67&lt;&gt;"",$L67&gt;0,$M67=""),"Missing: on-order arrival date","OK"))))))))))</f>
        <v/>
      </c>
      <c r="S67" s="78" t="str">
        <f>IF($R67&lt;&gt;"OK","",IF($G67="","",ROUND($G67/IF(OR($H67="",$H67&lt;=0),4,$H67)*4,0)))</f>
        <v/>
      </c>
      <c r="T67" s="78" t="str">
        <f>IF($R67&lt;&gt;"OK","",ROUND(IF($G67="",$F67*4*Setup!$C$19,$G67/IF(OR($H67="",$H67&lt;=0),4,$H67)*4*(1+IF($I67="",Setup!$C$16,$I67)))*IF($J67="",1,$J67),0))</f>
        <v/>
      </c>
      <c r="U67" s="78" t="str">
        <f>IF($R67&lt;&gt;"OK","",ROUND($T67*Setup!$C$17,0))</f>
        <v/>
      </c>
      <c r="V67" s="78" t="str">
        <f>IF($R67&lt;&gt;"OK","",ROUND($T67*Setup!$C$18,0))</f>
        <v/>
      </c>
      <c r="W67" s="78" t="str">
        <f>IF($R67&lt;&gt;"OK","",IF($C67="Evergreen",$V67,IF($C67="Seasonal or new",$U67,$T67)))</f>
        <v/>
      </c>
      <c r="X67" s="78" t="str">
        <f>IF($R67&lt;&gt;"OK","",ROUND(($F67*MAX(0,MIN(Setup!$C$13+1,(Setup!$C$5-Setup!$C$7))-Setup!$C$4)+$F67*Setup!$C$8*MAX(0,MIN(Setup!$C$13+1,Setup!$C$5)-MAX((Setup!$C$5-Setup!$C$7),Setup!$C$4))+$W67/4*MAX(0,MIN(Setup!$C$13+1,Setup!$C$5+4)-MAX(Setup!$C$5,Setup!$C$4))+$F67*Setup!$C$14*MAX(0,Setup!$C$13+1-MAX(Setup!$C$5+4,Setup!$C$4))),0))</f>
        <v/>
      </c>
      <c r="Y67" s="78" t="str">
        <f>IF($R67&lt;&gt;"OK","",ROUND($F67*Setup!$C$15,0))</f>
        <v/>
      </c>
      <c r="Z67" s="78" t="str">
        <f>IF($R67&lt;&gt;"OK","",IF(AND($L67&lt;&gt;"",$L67&gt;0),IF($M67&lt;=Setup!$C$13,$L67,0),0))</f>
        <v/>
      </c>
      <c r="AA67" s="78" t="str">
        <f>IF($R67&lt;&gt;"OK","",MAX(0,$X67+$Y67-$K67-$Z67))</f>
        <v/>
      </c>
      <c r="AB67" s="78" t="str">
        <f>IF($R67&lt;&gt;"OK","",IF($AA67=0,0,CEILING(MAX($AA67,IF($Q67="",0,$Q67)),IF(OR($P67="",$P67&lt;=0),1,$P67))))</f>
        <v/>
      </c>
      <c r="AC67" s="78" t="str">
        <f>IF($R67&lt;&gt;"OK","",$AB67*$D67)</f>
        <v/>
      </c>
      <c r="AD67" s="93" t="str">
        <f>IF($R67&lt;&gt;"OK","",INDEX(Setup!$D$25:$D$29,MATCH($O67,Setup!$B$25:$B$29,0)))</f>
        <v/>
      </c>
      <c r="AE67" s="93" t="str">
        <f>IF($R67&lt;&gt;"OK","",$AD67-$N67)</f>
        <v/>
      </c>
      <c r="AF67" s="79" t="str">
        <f>IF($R67&lt;&gt;"OK","",IF($AB67=0,"No order needed",IF($AE67&gt;=$AS67,"Order by the deadline",IF(AND($O67&lt;&gt;"Domestic",Setup!$D$27-$N67&gt;=$AS67),"Late by this mode: fly it",IF(Setup!$D$28-$N67&gt;=$AS67,"Late: Express courier only",IF($AG67&lt;Setup!$C$5,"Tight: lands before Black Friday",IF(AND($O67&lt;&gt;"Domestic",$AT67&lt;Setup!$C$5),"Tight: by Air lands before Black Friday",IF($AS67+$N67+Setup!$C$28+Setup!$C$11&lt;Setup!$C$5,"Tight: by Express lands before Black Friday","Too late: ration"))))))))</f>
        <v/>
      </c>
      <c r="AG67" s="93" t="str">
        <f>IF($R67&lt;&gt;"OK","",IF($AB67=0,"",$AS67+$N67+INDEX(Setup!$C$25:$C$29,MATCH($O67,Setup!$B$25:$B$29,0))+Setup!$C$11))</f>
        <v/>
      </c>
      <c r="AH67" s="93" t="str">
        <f>IF($R67&lt;&gt;"OK","",IF($F67&lt;=0,"",INT(IF($K67&lt;($F67*MAX(0,(Setup!$C$5-Setup!$C$7)-Setup!$C$4)),Setup!$C$4+$K67/$F67,IF($K67&lt;($F67*MAX(0,(Setup!$C$5-Setup!$C$7)-Setup!$C$4))+($F67*Setup!$C$8*MAX(0,Setup!$C$5-MAX((Setup!$C$5-Setup!$C$7),Setup!$C$4))),MAX((Setup!$C$5-Setup!$C$7),Setup!$C$4)+($K67-($F67*MAX(0,(Setup!$C$5-Setup!$C$7)-Setup!$C$4)))/($F67*Setup!$C$8),IF(AND($W67&gt;0,$K67&lt;($F67*MAX(0,(Setup!$C$5-Setup!$C$7)-Setup!$C$4))+($F67*Setup!$C$8*MAX(0,Setup!$C$5-MAX((Setup!$C$5-Setup!$C$7),Setup!$C$4)))+($W67/4*MAX(0,Setup!$C$5+4-MAX(Setup!$C$5,Setup!$C$4)))),MAX(Setup!$C$5,Setup!$C$4)+($K67-($F67*MAX(0,(Setup!$C$5-Setup!$C$7)-Setup!$C$4))-($F67*Setup!$C$8*MAX(0,Setup!$C$5-MAX((Setup!$C$5-Setup!$C$7),Setup!$C$4))))/($W67/4),MAX(Setup!$C$5+4,Setup!$C$4)+($K67-($F67*MAX(0,(Setup!$C$5-Setup!$C$7)-Setup!$C$4))-($F67*Setup!$C$8*MAX(0,Setup!$C$5-MAX((Setup!$C$5-Setup!$C$7),Setup!$C$4)))-($W67/4*MAX(0,Setup!$C$5+4-MAX(Setup!$C$5,Setup!$C$4))))/($F67*Setup!$C$14)))))))</f>
        <v/>
      </c>
      <c r="AI67" s="79" t="str">
        <f>IF($R67&lt;&gt;"OK","",IF(AND($L67&lt;&gt;"",$L67&gt;0,ISNUMBER($AH67),$M67&gt;$AH67),"Runs out before the incoming delivery arrives",IF($AB67=0,"OK",IF($K67+IF(AND($L67&lt;&gt;"",$L67&gt;0),IF($M67&lt;=$AG67,$L67,0),0)&lt;($F67*MAX(0,MIN($AG67,(Setup!$C$5-Setup!$C$7))-Setup!$C$4)+$F67*Setup!$C$8*MAX(0,MIN($AG67,Setup!$C$5)-MAX((Setup!$C$5-Setup!$C$7),Setup!$C$4))+$W67/4*MAX(0,MIN($AG67,Setup!$C$5+4)-MAX(Setup!$C$5,Setup!$C$4))+$F67*Setup!$C$14*MAX(0,$AG67-MAX(Setup!$C$5+4,Setup!$C$4))),"Runs out before this order can land","OK"))))</f>
        <v/>
      </c>
      <c r="AJ67" s="78" t="str">
        <f>IF($R67&lt;&gt;"OK","",IF($AB67=0,0,IF($AL67="Too slow: send it all fast",$AB67,$AR67)))</f>
        <v/>
      </c>
      <c r="AK67" s="78" t="str">
        <f>IF($R67&lt;&gt;"OK","",$AB67-$AJ67)</f>
        <v/>
      </c>
      <c r="AL67" s="78" t="str">
        <f>IF($R67&lt;&gt;"OK","",IF($AB67=0,"",IF($AB67-$AR67=0,"Nothing left over",IF($O67="Domestic",IF($AG67&lt;=Setup!$C$6+Setup!$C$20+1,"Later units can go by Domestic","Too slow: send it all fast"),IF($AS67+$N67+Setup!$C$25+Setup!$C$11&lt;=Setup!$C$6+Setup!$C$20+1,"Later units can go by Ocean long",IF($AS67+$N67+Setup!$C$26+Setup!$C$11&lt;=Setup!$C$6+Setup!$C$20+1,"Later units can go by Ocean short",IF($AS67+$N67+Setup!$C$27+Setup!$C$11&lt;=Setup!$C$6+Setup!$C$20+1,"Later units can go by Air",IF($AS67+$N67+Setup!$C$28+Setup!$C$11&lt;=Setup!$C$6+Setup!$C$20+1,"Later units can go by Express","Too slow: send it all fast"))))))))</f>
        <v/>
      </c>
      <c r="AM67" s="94" t="str">
        <f>IF($R67&lt;&gt;"OK","",$E67-$D67)</f>
        <v/>
      </c>
      <c r="AN67" s="95" t="str">
        <f>IF($R67&lt;&gt;"OK","",($E67-$D67)/$D67)</f>
        <v/>
      </c>
      <c r="AO67" s="95" t="str">
        <f>IF($R67&lt;&gt;"OK","",IF($AB67&gt;0,$AN67+IF($C67="Evergreen",1000,0),""))</f>
        <v/>
      </c>
      <c r="AP67" s="78" t="str">
        <f>IF(OR($R67&lt;&gt;"OK",$AO67=""),"",COUNTIF($AO$6:$AO$205,"&gt;"&amp;$AO67)+COUNTIF($AO$6:$AO67,$AO67))</f>
        <v/>
      </c>
      <c r="AQ67" s="78" t="str">
        <f>IF(OR($R67&lt;&gt;"OK",$AP67=""),"",INDEX('Buy list'!$G$5:$G$204,$AP67))</f>
        <v/>
      </c>
      <c r="AR67" s="78" t="str">
        <f>IF($R67&lt;&gt;"OK","",IF($AB67=0,0,MIN($AB67,CEILING(MAX(0,($F67*MAX(0,MIN((Setup!$C$6+1+Setup!$C$20),(Setup!$C$5-Setup!$C$7))-Setup!$C$4)+$F67*Setup!$C$8*MAX(0,MIN((Setup!$C$6+1+Setup!$C$20),Setup!$C$5)-MAX((Setup!$C$5-Setup!$C$7),Setup!$C$4))+$W67/4*MAX(0,MIN((Setup!$C$6+1+Setup!$C$20),Setup!$C$5+4)-MAX(Setup!$C$5,Setup!$C$4))+$F67*Setup!$C$14*MAX(0,(Setup!$C$6+1+Setup!$C$20)-MAX(Setup!$C$5+4,Setup!$C$4)))+$Y67-$K67-IF(AND($L67&lt;&gt;"",$L67&gt;0),IF($M67&lt;=Setup!$C$10,$L67,0),0)),IF(OR($P67="",$P67&lt;=0),1,$P67)))))</f>
        <v/>
      </c>
      <c r="AS67" s="96" t="str">
        <f>IF($R67&lt;&gt;"OK","",IF(AND($O67&lt;&gt;"Domestic",ISNUMBER(Setup!$C$22),Setup!$C$22&gt;Setup!$C$4),Setup!$C$22,Setup!$C$4))</f>
        <v/>
      </c>
      <c r="AT67" s="96" t="str">
        <f>IF($R67&lt;&gt;"OK","",IF($AB67=0,"",IF($O67="Domestic",$AG67,$AS67+$N67+Setup!$C$27+Setup!$C$11)))</f>
        <v/>
      </c>
    </row>
    <row r="68" ht="15" customHeight="1" s="46">
      <c r="A68" s="70" t="n"/>
      <c r="B68" s="70" t="n"/>
      <c r="C68" s="70" t="n"/>
      <c r="D68" s="85" t="n"/>
      <c r="E68" s="85" t="n"/>
      <c r="F68" s="86" t="n"/>
      <c r="G68" s="87" t="n"/>
      <c r="H68" s="88" t="n"/>
      <c r="I68" s="89" t="n"/>
      <c r="J68" s="90" t="n"/>
      <c r="K68" s="87" t="n"/>
      <c r="L68" s="87" t="n"/>
      <c r="M68" s="91" t="n"/>
      <c r="N68" s="92" t="n"/>
      <c r="O68" s="70" t="n"/>
      <c r="P68" s="92" t="n"/>
      <c r="Q68" s="87" t="n"/>
      <c r="R68" s="79" t="str">
        <f>IF($A68="","",IF($C68="","Missing: type",IF(OR($D68="",$D68&lt;=0),"Missing: unit cost",IF($E68="","Missing: unit price",IF($F68="","Missing: daily sales",IF($K68="","Missing: on hand",IF($N68="","Missing: production days",IF($O68="","Missing: freight mode",IF(ISNA(MATCH($O68,Setup!$B$25:$B$29,0)),"Unknown freight mode",IF(AND($L68&lt;&gt;"",$L68&gt;0,$M68=""),"Missing: on-order arrival date","OK"))))))))))</f>
        <v/>
      </c>
      <c r="S68" s="78" t="str">
        <f>IF($R68&lt;&gt;"OK","",IF($G68="","",ROUND($G68/IF(OR($H68="",$H68&lt;=0),4,$H68)*4,0)))</f>
        <v/>
      </c>
      <c r="T68" s="78" t="str">
        <f>IF($R68&lt;&gt;"OK","",ROUND(IF($G68="",$F68*4*Setup!$C$19,$G68/IF(OR($H68="",$H68&lt;=0),4,$H68)*4*(1+IF($I68="",Setup!$C$16,$I68)))*IF($J68="",1,$J68),0))</f>
        <v/>
      </c>
      <c r="U68" s="78" t="str">
        <f>IF($R68&lt;&gt;"OK","",ROUND($T68*Setup!$C$17,0))</f>
        <v/>
      </c>
      <c r="V68" s="78" t="str">
        <f>IF($R68&lt;&gt;"OK","",ROUND($T68*Setup!$C$18,0))</f>
        <v/>
      </c>
      <c r="W68" s="78" t="str">
        <f>IF($R68&lt;&gt;"OK","",IF($C68="Evergreen",$V68,IF($C68="Seasonal or new",$U68,$T68)))</f>
        <v/>
      </c>
      <c r="X68" s="78" t="str">
        <f>IF($R68&lt;&gt;"OK","",ROUND(($F68*MAX(0,MIN(Setup!$C$13+1,(Setup!$C$5-Setup!$C$7))-Setup!$C$4)+$F68*Setup!$C$8*MAX(0,MIN(Setup!$C$13+1,Setup!$C$5)-MAX((Setup!$C$5-Setup!$C$7),Setup!$C$4))+$W68/4*MAX(0,MIN(Setup!$C$13+1,Setup!$C$5+4)-MAX(Setup!$C$5,Setup!$C$4))+$F68*Setup!$C$14*MAX(0,Setup!$C$13+1-MAX(Setup!$C$5+4,Setup!$C$4))),0))</f>
        <v/>
      </c>
      <c r="Y68" s="78" t="str">
        <f>IF($R68&lt;&gt;"OK","",ROUND($F68*Setup!$C$15,0))</f>
        <v/>
      </c>
      <c r="Z68" s="78" t="str">
        <f>IF($R68&lt;&gt;"OK","",IF(AND($L68&lt;&gt;"",$L68&gt;0),IF($M68&lt;=Setup!$C$13,$L68,0),0))</f>
        <v/>
      </c>
      <c r="AA68" s="78" t="str">
        <f>IF($R68&lt;&gt;"OK","",MAX(0,$X68+$Y68-$K68-$Z68))</f>
        <v/>
      </c>
      <c r="AB68" s="78" t="str">
        <f>IF($R68&lt;&gt;"OK","",IF($AA68=0,0,CEILING(MAX($AA68,IF($Q68="",0,$Q68)),IF(OR($P68="",$P68&lt;=0),1,$P68))))</f>
        <v/>
      </c>
      <c r="AC68" s="78" t="str">
        <f>IF($R68&lt;&gt;"OK","",$AB68*$D68)</f>
        <v/>
      </c>
      <c r="AD68" s="93" t="str">
        <f>IF($R68&lt;&gt;"OK","",INDEX(Setup!$D$25:$D$29,MATCH($O68,Setup!$B$25:$B$29,0)))</f>
        <v/>
      </c>
      <c r="AE68" s="93" t="str">
        <f>IF($R68&lt;&gt;"OK","",$AD68-$N68)</f>
        <v/>
      </c>
      <c r="AF68" s="79" t="str">
        <f>IF($R68&lt;&gt;"OK","",IF($AB68=0,"No order needed",IF($AE68&gt;=$AS68,"Order by the deadline",IF(AND($O68&lt;&gt;"Domestic",Setup!$D$27-$N68&gt;=$AS68),"Late by this mode: fly it",IF(Setup!$D$28-$N68&gt;=$AS68,"Late: Express courier only",IF($AG68&lt;Setup!$C$5,"Tight: lands before Black Friday",IF(AND($O68&lt;&gt;"Domestic",$AT68&lt;Setup!$C$5),"Tight: by Air lands before Black Friday",IF($AS68+$N68+Setup!$C$28+Setup!$C$11&lt;Setup!$C$5,"Tight: by Express lands before Black Friday","Too late: ration"))))))))</f>
        <v/>
      </c>
      <c r="AG68" s="93" t="str">
        <f>IF($R68&lt;&gt;"OK","",IF($AB68=0,"",$AS68+$N68+INDEX(Setup!$C$25:$C$29,MATCH($O68,Setup!$B$25:$B$29,0))+Setup!$C$11))</f>
        <v/>
      </c>
      <c r="AH68" s="93" t="str">
        <f>IF($R68&lt;&gt;"OK","",IF($F68&lt;=0,"",INT(IF($K68&lt;($F68*MAX(0,(Setup!$C$5-Setup!$C$7)-Setup!$C$4)),Setup!$C$4+$K68/$F68,IF($K68&lt;($F68*MAX(0,(Setup!$C$5-Setup!$C$7)-Setup!$C$4))+($F68*Setup!$C$8*MAX(0,Setup!$C$5-MAX((Setup!$C$5-Setup!$C$7),Setup!$C$4))),MAX((Setup!$C$5-Setup!$C$7),Setup!$C$4)+($K68-($F68*MAX(0,(Setup!$C$5-Setup!$C$7)-Setup!$C$4)))/($F68*Setup!$C$8),IF(AND($W68&gt;0,$K68&lt;($F68*MAX(0,(Setup!$C$5-Setup!$C$7)-Setup!$C$4))+($F68*Setup!$C$8*MAX(0,Setup!$C$5-MAX((Setup!$C$5-Setup!$C$7),Setup!$C$4)))+($W68/4*MAX(0,Setup!$C$5+4-MAX(Setup!$C$5,Setup!$C$4)))),MAX(Setup!$C$5,Setup!$C$4)+($K68-($F68*MAX(0,(Setup!$C$5-Setup!$C$7)-Setup!$C$4))-($F68*Setup!$C$8*MAX(0,Setup!$C$5-MAX((Setup!$C$5-Setup!$C$7),Setup!$C$4))))/($W68/4),MAX(Setup!$C$5+4,Setup!$C$4)+($K68-($F68*MAX(0,(Setup!$C$5-Setup!$C$7)-Setup!$C$4))-($F68*Setup!$C$8*MAX(0,Setup!$C$5-MAX((Setup!$C$5-Setup!$C$7),Setup!$C$4)))-($W68/4*MAX(0,Setup!$C$5+4-MAX(Setup!$C$5,Setup!$C$4))))/($F68*Setup!$C$14)))))))</f>
        <v/>
      </c>
      <c r="AI68" s="79" t="str">
        <f>IF($R68&lt;&gt;"OK","",IF(AND($L68&lt;&gt;"",$L68&gt;0,ISNUMBER($AH68),$M68&gt;$AH68),"Runs out before the incoming delivery arrives",IF($AB68=0,"OK",IF($K68+IF(AND($L68&lt;&gt;"",$L68&gt;0),IF($M68&lt;=$AG68,$L68,0),0)&lt;($F68*MAX(0,MIN($AG68,(Setup!$C$5-Setup!$C$7))-Setup!$C$4)+$F68*Setup!$C$8*MAX(0,MIN($AG68,Setup!$C$5)-MAX((Setup!$C$5-Setup!$C$7),Setup!$C$4))+$W68/4*MAX(0,MIN($AG68,Setup!$C$5+4)-MAX(Setup!$C$5,Setup!$C$4))+$F68*Setup!$C$14*MAX(0,$AG68-MAX(Setup!$C$5+4,Setup!$C$4))),"Runs out before this order can land","OK"))))</f>
        <v/>
      </c>
      <c r="AJ68" s="78" t="str">
        <f>IF($R68&lt;&gt;"OK","",IF($AB68=0,0,IF($AL68="Too slow: send it all fast",$AB68,$AR68)))</f>
        <v/>
      </c>
      <c r="AK68" s="78" t="str">
        <f>IF($R68&lt;&gt;"OK","",$AB68-$AJ68)</f>
        <v/>
      </c>
      <c r="AL68" s="78" t="str">
        <f>IF($R68&lt;&gt;"OK","",IF($AB68=0,"",IF($AB68-$AR68=0,"Nothing left over",IF($O68="Domestic",IF($AG68&lt;=Setup!$C$6+Setup!$C$20+1,"Later units can go by Domestic","Too slow: send it all fast"),IF($AS68+$N68+Setup!$C$25+Setup!$C$11&lt;=Setup!$C$6+Setup!$C$20+1,"Later units can go by Ocean long",IF($AS68+$N68+Setup!$C$26+Setup!$C$11&lt;=Setup!$C$6+Setup!$C$20+1,"Later units can go by Ocean short",IF($AS68+$N68+Setup!$C$27+Setup!$C$11&lt;=Setup!$C$6+Setup!$C$20+1,"Later units can go by Air",IF($AS68+$N68+Setup!$C$28+Setup!$C$11&lt;=Setup!$C$6+Setup!$C$20+1,"Later units can go by Express","Too slow: send it all fast"))))))))</f>
        <v/>
      </c>
      <c r="AM68" s="94" t="str">
        <f>IF($R68&lt;&gt;"OK","",$E68-$D68)</f>
        <v/>
      </c>
      <c r="AN68" s="95" t="str">
        <f>IF($R68&lt;&gt;"OK","",($E68-$D68)/$D68)</f>
        <v/>
      </c>
      <c r="AO68" s="95" t="str">
        <f>IF($R68&lt;&gt;"OK","",IF($AB68&gt;0,$AN68+IF($C68="Evergreen",1000,0),""))</f>
        <v/>
      </c>
      <c r="AP68" s="78" t="str">
        <f>IF(OR($R68&lt;&gt;"OK",$AO68=""),"",COUNTIF($AO$6:$AO$205,"&gt;"&amp;$AO68)+COUNTIF($AO$6:$AO68,$AO68))</f>
        <v/>
      </c>
      <c r="AQ68" s="78" t="str">
        <f>IF(OR($R68&lt;&gt;"OK",$AP68=""),"",INDEX('Buy list'!$G$5:$G$204,$AP68))</f>
        <v/>
      </c>
      <c r="AR68" s="78" t="str">
        <f>IF($R68&lt;&gt;"OK","",IF($AB68=0,0,MIN($AB68,CEILING(MAX(0,($F68*MAX(0,MIN((Setup!$C$6+1+Setup!$C$20),(Setup!$C$5-Setup!$C$7))-Setup!$C$4)+$F68*Setup!$C$8*MAX(0,MIN((Setup!$C$6+1+Setup!$C$20),Setup!$C$5)-MAX((Setup!$C$5-Setup!$C$7),Setup!$C$4))+$W68/4*MAX(0,MIN((Setup!$C$6+1+Setup!$C$20),Setup!$C$5+4)-MAX(Setup!$C$5,Setup!$C$4))+$F68*Setup!$C$14*MAX(0,(Setup!$C$6+1+Setup!$C$20)-MAX(Setup!$C$5+4,Setup!$C$4)))+$Y68-$K68-IF(AND($L68&lt;&gt;"",$L68&gt;0),IF($M68&lt;=Setup!$C$10,$L68,0),0)),IF(OR($P68="",$P68&lt;=0),1,$P68)))))</f>
        <v/>
      </c>
      <c r="AS68" s="96" t="str">
        <f>IF($R68&lt;&gt;"OK","",IF(AND($O68&lt;&gt;"Domestic",ISNUMBER(Setup!$C$22),Setup!$C$22&gt;Setup!$C$4),Setup!$C$22,Setup!$C$4))</f>
        <v/>
      </c>
      <c r="AT68" s="96" t="str">
        <f>IF($R68&lt;&gt;"OK","",IF($AB68=0,"",IF($O68="Domestic",$AG68,$AS68+$N68+Setup!$C$27+Setup!$C$11)))</f>
        <v/>
      </c>
    </row>
    <row r="69" ht="15" customHeight="1" s="46">
      <c r="A69" s="70" t="n"/>
      <c r="B69" s="70" t="n"/>
      <c r="C69" s="70" t="n"/>
      <c r="D69" s="85" t="n"/>
      <c r="E69" s="85" t="n"/>
      <c r="F69" s="86" t="n"/>
      <c r="G69" s="87" t="n"/>
      <c r="H69" s="88" t="n"/>
      <c r="I69" s="89" t="n"/>
      <c r="J69" s="90" t="n"/>
      <c r="K69" s="87" t="n"/>
      <c r="L69" s="87" t="n"/>
      <c r="M69" s="91" t="n"/>
      <c r="N69" s="92" t="n"/>
      <c r="O69" s="70" t="n"/>
      <c r="P69" s="92" t="n"/>
      <c r="Q69" s="87" t="n"/>
      <c r="R69" s="79" t="str">
        <f>IF($A69="","",IF($C69="","Missing: type",IF(OR($D69="",$D69&lt;=0),"Missing: unit cost",IF($E69="","Missing: unit price",IF($F69="","Missing: daily sales",IF($K69="","Missing: on hand",IF($N69="","Missing: production days",IF($O69="","Missing: freight mode",IF(ISNA(MATCH($O69,Setup!$B$25:$B$29,0)),"Unknown freight mode",IF(AND($L69&lt;&gt;"",$L69&gt;0,$M69=""),"Missing: on-order arrival date","OK"))))))))))</f>
        <v/>
      </c>
      <c r="S69" s="78" t="str">
        <f>IF($R69&lt;&gt;"OK","",IF($G69="","",ROUND($G69/IF(OR($H69="",$H69&lt;=0),4,$H69)*4,0)))</f>
        <v/>
      </c>
      <c r="T69" s="78" t="str">
        <f>IF($R69&lt;&gt;"OK","",ROUND(IF($G69="",$F69*4*Setup!$C$19,$G69/IF(OR($H69="",$H69&lt;=0),4,$H69)*4*(1+IF($I69="",Setup!$C$16,$I69)))*IF($J69="",1,$J69),0))</f>
        <v/>
      </c>
      <c r="U69" s="78" t="str">
        <f>IF($R69&lt;&gt;"OK","",ROUND($T69*Setup!$C$17,0))</f>
        <v/>
      </c>
      <c r="V69" s="78" t="str">
        <f>IF($R69&lt;&gt;"OK","",ROUND($T69*Setup!$C$18,0))</f>
        <v/>
      </c>
      <c r="W69" s="78" t="str">
        <f>IF($R69&lt;&gt;"OK","",IF($C69="Evergreen",$V69,IF($C69="Seasonal or new",$U69,$T69)))</f>
        <v/>
      </c>
      <c r="X69" s="78" t="str">
        <f>IF($R69&lt;&gt;"OK","",ROUND(($F69*MAX(0,MIN(Setup!$C$13+1,(Setup!$C$5-Setup!$C$7))-Setup!$C$4)+$F69*Setup!$C$8*MAX(0,MIN(Setup!$C$13+1,Setup!$C$5)-MAX((Setup!$C$5-Setup!$C$7),Setup!$C$4))+$W69/4*MAX(0,MIN(Setup!$C$13+1,Setup!$C$5+4)-MAX(Setup!$C$5,Setup!$C$4))+$F69*Setup!$C$14*MAX(0,Setup!$C$13+1-MAX(Setup!$C$5+4,Setup!$C$4))),0))</f>
        <v/>
      </c>
      <c r="Y69" s="78" t="str">
        <f>IF($R69&lt;&gt;"OK","",ROUND($F69*Setup!$C$15,0))</f>
        <v/>
      </c>
      <c r="Z69" s="78" t="str">
        <f>IF($R69&lt;&gt;"OK","",IF(AND($L69&lt;&gt;"",$L69&gt;0),IF($M69&lt;=Setup!$C$13,$L69,0),0))</f>
        <v/>
      </c>
      <c r="AA69" s="78" t="str">
        <f>IF($R69&lt;&gt;"OK","",MAX(0,$X69+$Y69-$K69-$Z69))</f>
        <v/>
      </c>
      <c r="AB69" s="78" t="str">
        <f>IF($R69&lt;&gt;"OK","",IF($AA69=0,0,CEILING(MAX($AA69,IF($Q69="",0,$Q69)),IF(OR($P69="",$P69&lt;=0),1,$P69))))</f>
        <v/>
      </c>
      <c r="AC69" s="78" t="str">
        <f>IF($R69&lt;&gt;"OK","",$AB69*$D69)</f>
        <v/>
      </c>
      <c r="AD69" s="93" t="str">
        <f>IF($R69&lt;&gt;"OK","",INDEX(Setup!$D$25:$D$29,MATCH($O69,Setup!$B$25:$B$29,0)))</f>
        <v/>
      </c>
      <c r="AE69" s="93" t="str">
        <f>IF($R69&lt;&gt;"OK","",$AD69-$N69)</f>
        <v/>
      </c>
      <c r="AF69" s="79" t="str">
        <f>IF($R69&lt;&gt;"OK","",IF($AB69=0,"No order needed",IF($AE69&gt;=$AS69,"Order by the deadline",IF(AND($O69&lt;&gt;"Domestic",Setup!$D$27-$N69&gt;=$AS69),"Late by this mode: fly it",IF(Setup!$D$28-$N69&gt;=$AS69,"Late: Express courier only",IF($AG69&lt;Setup!$C$5,"Tight: lands before Black Friday",IF(AND($O69&lt;&gt;"Domestic",$AT69&lt;Setup!$C$5),"Tight: by Air lands before Black Friday",IF($AS69+$N69+Setup!$C$28+Setup!$C$11&lt;Setup!$C$5,"Tight: by Express lands before Black Friday","Too late: ration"))))))))</f>
        <v/>
      </c>
      <c r="AG69" s="93" t="str">
        <f>IF($R69&lt;&gt;"OK","",IF($AB69=0,"",$AS69+$N69+INDEX(Setup!$C$25:$C$29,MATCH($O69,Setup!$B$25:$B$29,0))+Setup!$C$11))</f>
        <v/>
      </c>
      <c r="AH69" s="93" t="str">
        <f>IF($R69&lt;&gt;"OK","",IF($F69&lt;=0,"",INT(IF($K69&lt;($F69*MAX(0,(Setup!$C$5-Setup!$C$7)-Setup!$C$4)),Setup!$C$4+$K69/$F69,IF($K69&lt;($F69*MAX(0,(Setup!$C$5-Setup!$C$7)-Setup!$C$4))+($F69*Setup!$C$8*MAX(0,Setup!$C$5-MAX((Setup!$C$5-Setup!$C$7),Setup!$C$4))),MAX((Setup!$C$5-Setup!$C$7),Setup!$C$4)+($K69-($F69*MAX(0,(Setup!$C$5-Setup!$C$7)-Setup!$C$4)))/($F69*Setup!$C$8),IF(AND($W69&gt;0,$K69&lt;($F69*MAX(0,(Setup!$C$5-Setup!$C$7)-Setup!$C$4))+($F69*Setup!$C$8*MAX(0,Setup!$C$5-MAX((Setup!$C$5-Setup!$C$7),Setup!$C$4)))+($W69/4*MAX(0,Setup!$C$5+4-MAX(Setup!$C$5,Setup!$C$4)))),MAX(Setup!$C$5,Setup!$C$4)+($K69-($F69*MAX(0,(Setup!$C$5-Setup!$C$7)-Setup!$C$4))-($F69*Setup!$C$8*MAX(0,Setup!$C$5-MAX((Setup!$C$5-Setup!$C$7),Setup!$C$4))))/($W69/4),MAX(Setup!$C$5+4,Setup!$C$4)+($K69-($F69*MAX(0,(Setup!$C$5-Setup!$C$7)-Setup!$C$4))-($F69*Setup!$C$8*MAX(0,Setup!$C$5-MAX((Setup!$C$5-Setup!$C$7),Setup!$C$4)))-($W69/4*MAX(0,Setup!$C$5+4-MAX(Setup!$C$5,Setup!$C$4))))/($F69*Setup!$C$14)))))))</f>
        <v/>
      </c>
      <c r="AI69" s="79" t="str">
        <f>IF($R69&lt;&gt;"OK","",IF(AND($L69&lt;&gt;"",$L69&gt;0,ISNUMBER($AH69),$M69&gt;$AH69),"Runs out before the incoming delivery arrives",IF($AB69=0,"OK",IF($K69+IF(AND($L69&lt;&gt;"",$L69&gt;0),IF($M69&lt;=$AG69,$L69,0),0)&lt;($F69*MAX(0,MIN($AG69,(Setup!$C$5-Setup!$C$7))-Setup!$C$4)+$F69*Setup!$C$8*MAX(0,MIN($AG69,Setup!$C$5)-MAX((Setup!$C$5-Setup!$C$7),Setup!$C$4))+$W69/4*MAX(0,MIN($AG69,Setup!$C$5+4)-MAX(Setup!$C$5,Setup!$C$4))+$F69*Setup!$C$14*MAX(0,$AG69-MAX(Setup!$C$5+4,Setup!$C$4))),"Runs out before this order can land","OK"))))</f>
        <v/>
      </c>
      <c r="AJ69" s="78" t="str">
        <f>IF($R69&lt;&gt;"OK","",IF($AB69=0,0,IF($AL69="Too slow: send it all fast",$AB69,$AR69)))</f>
        <v/>
      </c>
      <c r="AK69" s="78" t="str">
        <f>IF($R69&lt;&gt;"OK","",$AB69-$AJ69)</f>
        <v/>
      </c>
      <c r="AL69" s="78" t="str">
        <f>IF($R69&lt;&gt;"OK","",IF($AB69=0,"",IF($AB69-$AR69=0,"Nothing left over",IF($O69="Domestic",IF($AG69&lt;=Setup!$C$6+Setup!$C$20+1,"Later units can go by Domestic","Too slow: send it all fast"),IF($AS69+$N69+Setup!$C$25+Setup!$C$11&lt;=Setup!$C$6+Setup!$C$20+1,"Later units can go by Ocean long",IF($AS69+$N69+Setup!$C$26+Setup!$C$11&lt;=Setup!$C$6+Setup!$C$20+1,"Later units can go by Ocean short",IF($AS69+$N69+Setup!$C$27+Setup!$C$11&lt;=Setup!$C$6+Setup!$C$20+1,"Later units can go by Air",IF($AS69+$N69+Setup!$C$28+Setup!$C$11&lt;=Setup!$C$6+Setup!$C$20+1,"Later units can go by Express","Too slow: send it all fast"))))))))</f>
        <v/>
      </c>
      <c r="AM69" s="94" t="str">
        <f>IF($R69&lt;&gt;"OK","",$E69-$D69)</f>
        <v/>
      </c>
      <c r="AN69" s="95" t="str">
        <f>IF($R69&lt;&gt;"OK","",($E69-$D69)/$D69)</f>
        <v/>
      </c>
      <c r="AO69" s="95" t="str">
        <f>IF($R69&lt;&gt;"OK","",IF($AB69&gt;0,$AN69+IF($C69="Evergreen",1000,0),""))</f>
        <v/>
      </c>
      <c r="AP69" s="78" t="str">
        <f>IF(OR($R69&lt;&gt;"OK",$AO69=""),"",COUNTIF($AO$6:$AO$205,"&gt;"&amp;$AO69)+COUNTIF($AO$6:$AO69,$AO69))</f>
        <v/>
      </c>
      <c r="AQ69" s="78" t="str">
        <f>IF(OR($R69&lt;&gt;"OK",$AP69=""),"",INDEX('Buy list'!$G$5:$G$204,$AP69))</f>
        <v/>
      </c>
      <c r="AR69" s="78" t="str">
        <f>IF($R69&lt;&gt;"OK","",IF($AB69=0,0,MIN($AB69,CEILING(MAX(0,($F69*MAX(0,MIN((Setup!$C$6+1+Setup!$C$20),(Setup!$C$5-Setup!$C$7))-Setup!$C$4)+$F69*Setup!$C$8*MAX(0,MIN((Setup!$C$6+1+Setup!$C$20),Setup!$C$5)-MAX((Setup!$C$5-Setup!$C$7),Setup!$C$4))+$W69/4*MAX(0,MIN((Setup!$C$6+1+Setup!$C$20),Setup!$C$5+4)-MAX(Setup!$C$5,Setup!$C$4))+$F69*Setup!$C$14*MAX(0,(Setup!$C$6+1+Setup!$C$20)-MAX(Setup!$C$5+4,Setup!$C$4)))+$Y69-$K69-IF(AND($L69&lt;&gt;"",$L69&gt;0),IF($M69&lt;=Setup!$C$10,$L69,0),0)),IF(OR($P69="",$P69&lt;=0),1,$P69)))))</f>
        <v/>
      </c>
      <c r="AS69" s="96" t="str">
        <f>IF($R69&lt;&gt;"OK","",IF(AND($O69&lt;&gt;"Domestic",ISNUMBER(Setup!$C$22),Setup!$C$22&gt;Setup!$C$4),Setup!$C$22,Setup!$C$4))</f>
        <v/>
      </c>
      <c r="AT69" s="96" t="str">
        <f>IF($R69&lt;&gt;"OK","",IF($AB69=0,"",IF($O69="Domestic",$AG69,$AS69+$N69+Setup!$C$27+Setup!$C$11)))</f>
        <v/>
      </c>
    </row>
    <row r="70" ht="15" customHeight="1" s="46">
      <c r="A70" s="70" t="n"/>
      <c r="B70" s="70" t="n"/>
      <c r="C70" s="70" t="n"/>
      <c r="D70" s="85" t="n"/>
      <c r="E70" s="85" t="n"/>
      <c r="F70" s="86" t="n"/>
      <c r="G70" s="87" t="n"/>
      <c r="H70" s="88" t="n"/>
      <c r="I70" s="89" t="n"/>
      <c r="J70" s="90" t="n"/>
      <c r="K70" s="87" t="n"/>
      <c r="L70" s="87" t="n"/>
      <c r="M70" s="91" t="n"/>
      <c r="N70" s="92" t="n"/>
      <c r="O70" s="70" t="n"/>
      <c r="P70" s="92" t="n"/>
      <c r="Q70" s="87" t="n"/>
      <c r="R70" s="79" t="str">
        <f>IF($A70="","",IF($C70="","Missing: type",IF(OR($D70="",$D70&lt;=0),"Missing: unit cost",IF($E70="","Missing: unit price",IF($F70="","Missing: daily sales",IF($K70="","Missing: on hand",IF($N70="","Missing: production days",IF($O70="","Missing: freight mode",IF(ISNA(MATCH($O70,Setup!$B$25:$B$29,0)),"Unknown freight mode",IF(AND($L70&lt;&gt;"",$L70&gt;0,$M70=""),"Missing: on-order arrival date","OK"))))))))))</f>
        <v/>
      </c>
      <c r="S70" s="78" t="str">
        <f>IF($R70&lt;&gt;"OK","",IF($G70="","",ROUND($G70/IF(OR($H70="",$H70&lt;=0),4,$H70)*4,0)))</f>
        <v/>
      </c>
      <c r="T70" s="78" t="str">
        <f>IF($R70&lt;&gt;"OK","",ROUND(IF($G70="",$F70*4*Setup!$C$19,$G70/IF(OR($H70="",$H70&lt;=0),4,$H70)*4*(1+IF($I70="",Setup!$C$16,$I70)))*IF($J70="",1,$J70),0))</f>
        <v/>
      </c>
      <c r="U70" s="78" t="str">
        <f>IF($R70&lt;&gt;"OK","",ROUND($T70*Setup!$C$17,0))</f>
        <v/>
      </c>
      <c r="V70" s="78" t="str">
        <f>IF($R70&lt;&gt;"OK","",ROUND($T70*Setup!$C$18,0))</f>
        <v/>
      </c>
      <c r="W70" s="78" t="str">
        <f>IF($R70&lt;&gt;"OK","",IF($C70="Evergreen",$V70,IF($C70="Seasonal or new",$U70,$T70)))</f>
        <v/>
      </c>
      <c r="X70" s="78" t="str">
        <f>IF($R70&lt;&gt;"OK","",ROUND(($F70*MAX(0,MIN(Setup!$C$13+1,(Setup!$C$5-Setup!$C$7))-Setup!$C$4)+$F70*Setup!$C$8*MAX(0,MIN(Setup!$C$13+1,Setup!$C$5)-MAX((Setup!$C$5-Setup!$C$7),Setup!$C$4))+$W70/4*MAX(0,MIN(Setup!$C$13+1,Setup!$C$5+4)-MAX(Setup!$C$5,Setup!$C$4))+$F70*Setup!$C$14*MAX(0,Setup!$C$13+1-MAX(Setup!$C$5+4,Setup!$C$4))),0))</f>
        <v/>
      </c>
      <c r="Y70" s="78" t="str">
        <f>IF($R70&lt;&gt;"OK","",ROUND($F70*Setup!$C$15,0))</f>
        <v/>
      </c>
      <c r="Z70" s="78" t="str">
        <f>IF($R70&lt;&gt;"OK","",IF(AND($L70&lt;&gt;"",$L70&gt;0),IF($M70&lt;=Setup!$C$13,$L70,0),0))</f>
        <v/>
      </c>
      <c r="AA70" s="78" t="str">
        <f>IF($R70&lt;&gt;"OK","",MAX(0,$X70+$Y70-$K70-$Z70))</f>
        <v/>
      </c>
      <c r="AB70" s="78" t="str">
        <f>IF($R70&lt;&gt;"OK","",IF($AA70=0,0,CEILING(MAX($AA70,IF($Q70="",0,$Q70)),IF(OR($P70="",$P70&lt;=0),1,$P70))))</f>
        <v/>
      </c>
      <c r="AC70" s="78" t="str">
        <f>IF($R70&lt;&gt;"OK","",$AB70*$D70)</f>
        <v/>
      </c>
      <c r="AD70" s="93" t="str">
        <f>IF($R70&lt;&gt;"OK","",INDEX(Setup!$D$25:$D$29,MATCH($O70,Setup!$B$25:$B$29,0)))</f>
        <v/>
      </c>
      <c r="AE70" s="93" t="str">
        <f>IF($R70&lt;&gt;"OK","",$AD70-$N70)</f>
        <v/>
      </c>
      <c r="AF70" s="79" t="str">
        <f>IF($R70&lt;&gt;"OK","",IF($AB70=0,"No order needed",IF($AE70&gt;=$AS70,"Order by the deadline",IF(AND($O70&lt;&gt;"Domestic",Setup!$D$27-$N70&gt;=$AS70),"Late by this mode: fly it",IF(Setup!$D$28-$N70&gt;=$AS70,"Late: Express courier only",IF($AG70&lt;Setup!$C$5,"Tight: lands before Black Friday",IF(AND($O70&lt;&gt;"Domestic",$AT70&lt;Setup!$C$5),"Tight: by Air lands before Black Friday",IF($AS70+$N70+Setup!$C$28+Setup!$C$11&lt;Setup!$C$5,"Tight: by Express lands before Black Friday","Too late: ration"))))))))</f>
        <v/>
      </c>
      <c r="AG70" s="93" t="str">
        <f>IF($R70&lt;&gt;"OK","",IF($AB70=0,"",$AS70+$N70+INDEX(Setup!$C$25:$C$29,MATCH($O70,Setup!$B$25:$B$29,0))+Setup!$C$11))</f>
        <v/>
      </c>
      <c r="AH70" s="93" t="str">
        <f>IF($R70&lt;&gt;"OK","",IF($F70&lt;=0,"",INT(IF($K70&lt;($F70*MAX(0,(Setup!$C$5-Setup!$C$7)-Setup!$C$4)),Setup!$C$4+$K70/$F70,IF($K70&lt;($F70*MAX(0,(Setup!$C$5-Setup!$C$7)-Setup!$C$4))+($F70*Setup!$C$8*MAX(0,Setup!$C$5-MAX((Setup!$C$5-Setup!$C$7),Setup!$C$4))),MAX((Setup!$C$5-Setup!$C$7),Setup!$C$4)+($K70-($F70*MAX(0,(Setup!$C$5-Setup!$C$7)-Setup!$C$4)))/($F70*Setup!$C$8),IF(AND($W70&gt;0,$K70&lt;($F70*MAX(0,(Setup!$C$5-Setup!$C$7)-Setup!$C$4))+($F70*Setup!$C$8*MAX(0,Setup!$C$5-MAX((Setup!$C$5-Setup!$C$7),Setup!$C$4)))+($W70/4*MAX(0,Setup!$C$5+4-MAX(Setup!$C$5,Setup!$C$4)))),MAX(Setup!$C$5,Setup!$C$4)+($K70-($F70*MAX(0,(Setup!$C$5-Setup!$C$7)-Setup!$C$4))-($F70*Setup!$C$8*MAX(0,Setup!$C$5-MAX((Setup!$C$5-Setup!$C$7),Setup!$C$4))))/($W70/4),MAX(Setup!$C$5+4,Setup!$C$4)+($K70-($F70*MAX(0,(Setup!$C$5-Setup!$C$7)-Setup!$C$4))-($F70*Setup!$C$8*MAX(0,Setup!$C$5-MAX((Setup!$C$5-Setup!$C$7),Setup!$C$4)))-($W70/4*MAX(0,Setup!$C$5+4-MAX(Setup!$C$5,Setup!$C$4))))/($F70*Setup!$C$14)))))))</f>
        <v/>
      </c>
      <c r="AI70" s="79" t="str">
        <f>IF($R70&lt;&gt;"OK","",IF(AND($L70&lt;&gt;"",$L70&gt;0,ISNUMBER($AH70),$M70&gt;$AH70),"Runs out before the incoming delivery arrives",IF($AB70=0,"OK",IF($K70+IF(AND($L70&lt;&gt;"",$L70&gt;0),IF($M70&lt;=$AG70,$L70,0),0)&lt;($F70*MAX(0,MIN($AG70,(Setup!$C$5-Setup!$C$7))-Setup!$C$4)+$F70*Setup!$C$8*MAX(0,MIN($AG70,Setup!$C$5)-MAX((Setup!$C$5-Setup!$C$7),Setup!$C$4))+$W70/4*MAX(0,MIN($AG70,Setup!$C$5+4)-MAX(Setup!$C$5,Setup!$C$4))+$F70*Setup!$C$14*MAX(0,$AG70-MAX(Setup!$C$5+4,Setup!$C$4))),"Runs out before this order can land","OK"))))</f>
        <v/>
      </c>
      <c r="AJ70" s="78" t="str">
        <f>IF($R70&lt;&gt;"OK","",IF($AB70=0,0,IF($AL70="Too slow: send it all fast",$AB70,$AR70)))</f>
        <v/>
      </c>
      <c r="AK70" s="78" t="str">
        <f>IF($R70&lt;&gt;"OK","",$AB70-$AJ70)</f>
        <v/>
      </c>
      <c r="AL70" s="78" t="str">
        <f>IF($R70&lt;&gt;"OK","",IF($AB70=0,"",IF($AB70-$AR70=0,"Nothing left over",IF($O70="Domestic",IF($AG70&lt;=Setup!$C$6+Setup!$C$20+1,"Later units can go by Domestic","Too slow: send it all fast"),IF($AS70+$N70+Setup!$C$25+Setup!$C$11&lt;=Setup!$C$6+Setup!$C$20+1,"Later units can go by Ocean long",IF($AS70+$N70+Setup!$C$26+Setup!$C$11&lt;=Setup!$C$6+Setup!$C$20+1,"Later units can go by Ocean short",IF($AS70+$N70+Setup!$C$27+Setup!$C$11&lt;=Setup!$C$6+Setup!$C$20+1,"Later units can go by Air",IF($AS70+$N70+Setup!$C$28+Setup!$C$11&lt;=Setup!$C$6+Setup!$C$20+1,"Later units can go by Express","Too slow: send it all fast"))))))))</f>
        <v/>
      </c>
      <c r="AM70" s="94" t="str">
        <f>IF($R70&lt;&gt;"OK","",$E70-$D70)</f>
        <v/>
      </c>
      <c r="AN70" s="95" t="str">
        <f>IF($R70&lt;&gt;"OK","",($E70-$D70)/$D70)</f>
        <v/>
      </c>
      <c r="AO70" s="95" t="str">
        <f>IF($R70&lt;&gt;"OK","",IF($AB70&gt;0,$AN70+IF($C70="Evergreen",1000,0),""))</f>
        <v/>
      </c>
      <c r="AP70" s="78" t="str">
        <f>IF(OR($R70&lt;&gt;"OK",$AO70=""),"",COUNTIF($AO$6:$AO$205,"&gt;"&amp;$AO70)+COUNTIF($AO$6:$AO70,$AO70))</f>
        <v/>
      </c>
      <c r="AQ70" s="78" t="str">
        <f>IF(OR($R70&lt;&gt;"OK",$AP70=""),"",INDEX('Buy list'!$G$5:$G$204,$AP70))</f>
        <v/>
      </c>
      <c r="AR70" s="78" t="str">
        <f>IF($R70&lt;&gt;"OK","",IF($AB70=0,0,MIN($AB70,CEILING(MAX(0,($F70*MAX(0,MIN((Setup!$C$6+1+Setup!$C$20),(Setup!$C$5-Setup!$C$7))-Setup!$C$4)+$F70*Setup!$C$8*MAX(0,MIN((Setup!$C$6+1+Setup!$C$20),Setup!$C$5)-MAX((Setup!$C$5-Setup!$C$7),Setup!$C$4))+$W70/4*MAX(0,MIN((Setup!$C$6+1+Setup!$C$20),Setup!$C$5+4)-MAX(Setup!$C$5,Setup!$C$4))+$F70*Setup!$C$14*MAX(0,(Setup!$C$6+1+Setup!$C$20)-MAX(Setup!$C$5+4,Setup!$C$4)))+$Y70-$K70-IF(AND($L70&lt;&gt;"",$L70&gt;0),IF($M70&lt;=Setup!$C$10,$L70,0),0)),IF(OR($P70="",$P70&lt;=0),1,$P70)))))</f>
        <v/>
      </c>
      <c r="AS70" s="96" t="str">
        <f>IF($R70&lt;&gt;"OK","",IF(AND($O70&lt;&gt;"Domestic",ISNUMBER(Setup!$C$22),Setup!$C$22&gt;Setup!$C$4),Setup!$C$22,Setup!$C$4))</f>
        <v/>
      </c>
      <c r="AT70" s="96" t="str">
        <f>IF($R70&lt;&gt;"OK","",IF($AB70=0,"",IF($O70="Domestic",$AG70,$AS70+$N70+Setup!$C$27+Setup!$C$11)))</f>
        <v/>
      </c>
    </row>
    <row r="71" ht="15" customHeight="1" s="46">
      <c r="A71" s="70" t="n"/>
      <c r="B71" s="70" t="n"/>
      <c r="C71" s="70" t="n"/>
      <c r="D71" s="85" t="n"/>
      <c r="E71" s="85" t="n"/>
      <c r="F71" s="86" t="n"/>
      <c r="G71" s="87" t="n"/>
      <c r="H71" s="88" t="n"/>
      <c r="I71" s="89" t="n"/>
      <c r="J71" s="90" t="n"/>
      <c r="K71" s="87" t="n"/>
      <c r="L71" s="87" t="n"/>
      <c r="M71" s="91" t="n"/>
      <c r="N71" s="92" t="n"/>
      <c r="O71" s="70" t="n"/>
      <c r="P71" s="92" t="n"/>
      <c r="Q71" s="87" t="n"/>
      <c r="R71" s="79" t="str">
        <f>IF($A71="","",IF($C71="","Missing: type",IF(OR($D71="",$D71&lt;=0),"Missing: unit cost",IF($E71="","Missing: unit price",IF($F71="","Missing: daily sales",IF($K71="","Missing: on hand",IF($N71="","Missing: production days",IF($O71="","Missing: freight mode",IF(ISNA(MATCH($O71,Setup!$B$25:$B$29,0)),"Unknown freight mode",IF(AND($L71&lt;&gt;"",$L71&gt;0,$M71=""),"Missing: on-order arrival date","OK"))))))))))</f>
        <v/>
      </c>
      <c r="S71" s="78" t="str">
        <f>IF($R71&lt;&gt;"OK","",IF($G71="","",ROUND($G71/IF(OR($H71="",$H71&lt;=0),4,$H71)*4,0)))</f>
        <v/>
      </c>
      <c r="T71" s="78" t="str">
        <f>IF($R71&lt;&gt;"OK","",ROUND(IF($G71="",$F71*4*Setup!$C$19,$G71/IF(OR($H71="",$H71&lt;=0),4,$H71)*4*(1+IF($I71="",Setup!$C$16,$I71)))*IF($J71="",1,$J71),0))</f>
        <v/>
      </c>
      <c r="U71" s="78" t="str">
        <f>IF($R71&lt;&gt;"OK","",ROUND($T71*Setup!$C$17,0))</f>
        <v/>
      </c>
      <c r="V71" s="78" t="str">
        <f>IF($R71&lt;&gt;"OK","",ROUND($T71*Setup!$C$18,0))</f>
        <v/>
      </c>
      <c r="W71" s="78" t="str">
        <f>IF($R71&lt;&gt;"OK","",IF($C71="Evergreen",$V71,IF($C71="Seasonal or new",$U71,$T71)))</f>
        <v/>
      </c>
      <c r="X71" s="78" t="str">
        <f>IF($R71&lt;&gt;"OK","",ROUND(($F71*MAX(0,MIN(Setup!$C$13+1,(Setup!$C$5-Setup!$C$7))-Setup!$C$4)+$F71*Setup!$C$8*MAX(0,MIN(Setup!$C$13+1,Setup!$C$5)-MAX((Setup!$C$5-Setup!$C$7),Setup!$C$4))+$W71/4*MAX(0,MIN(Setup!$C$13+1,Setup!$C$5+4)-MAX(Setup!$C$5,Setup!$C$4))+$F71*Setup!$C$14*MAX(0,Setup!$C$13+1-MAX(Setup!$C$5+4,Setup!$C$4))),0))</f>
        <v/>
      </c>
      <c r="Y71" s="78" t="str">
        <f>IF($R71&lt;&gt;"OK","",ROUND($F71*Setup!$C$15,0))</f>
        <v/>
      </c>
      <c r="Z71" s="78" t="str">
        <f>IF($R71&lt;&gt;"OK","",IF(AND($L71&lt;&gt;"",$L71&gt;0),IF($M71&lt;=Setup!$C$13,$L71,0),0))</f>
        <v/>
      </c>
      <c r="AA71" s="78" t="str">
        <f>IF($R71&lt;&gt;"OK","",MAX(0,$X71+$Y71-$K71-$Z71))</f>
        <v/>
      </c>
      <c r="AB71" s="78" t="str">
        <f>IF($R71&lt;&gt;"OK","",IF($AA71=0,0,CEILING(MAX($AA71,IF($Q71="",0,$Q71)),IF(OR($P71="",$P71&lt;=0),1,$P71))))</f>
        <v/>
      </c>
      <c r="AC71" s="78" t="str">
        <f>IF($R71&lt;&gt;"OK","",$AB71*$D71)</f>
        <v/>
      </c>
      <c r="AD71" s="93" t="str">
        <f>IF($R71&lt;&gt;"OK","",INDEX(Setup!$D$25:$D$29,MATCH($O71,Setup!$B$25:$B$29,0)))</f>
        <v/>
      </c>
      <c r="AE71" s="93" t="str">
        <f>IF($R71&lt;&gt;"OK","",$AD71-$N71)</f>
        <v/>
      </c>
      <c r="AF71" s="79" t="str">
        <f>IF($R71&lt;&gt;"OK","",IF($AB71=0,"No order needed",IF($AE71&gt;=$AS71,"Order by the deadline",IF(AND($O71&lt;&gt;"Domestic",Setup!$D$27-$N71&gt;=$AS71),"Late by this mode: fly it",IF(Setup!$D$28-$N71&gt;=$AS71,"Late: Express courier only",IF($AG71&lt;Setup!$C$5,"Tight: lands before Black Friday",IF(AND($O71&lt;&gt;"Domestic",$AT71&lt;Setup!$C$5),"Tight: by Air lands before Black Friday",IF($AS71+$N71+Setup!$C$28+Setup!$C$11&lt;Setup!$C$5,"Tight: by Express lands before Black Friday","Too late: ration"))))))))</f>
        <v/>
      </c>
      <c r="AG71" s="93" t="str">
        <f>IF($R71&lt;&gt;"OK","",IF($AB71=0,"",$AS71+$N71+INDEX(Setup!$C$25:$C$29,MATCH($O71,Setup!$B$25:$B$29,0))+Setup!$C$11))</f>
        <v/>
      </c>
      <c r="AH71" s="93" t="str">
        <f>IF($R71&lt;&gt;"OK","",IF($F71&lt;=0,"",INT(IF($K71&lt;($F71*MAX(0,(Setup!$C$5-Setup!$C$7)-Setup!$C$4)),Setup!$C$4+$K71/$F71,IF($K71&lt;($F71*MAX(0,(Setup!$C$5-Setup!$C$7)-Setup!$C$4))+($F71*Setup!$C$8*MAX(0,Setup!$C$5-MAX((Setup!$C$5-Setup!$C$7),Setup!$C$4))),MAX((Setup!$C$5-Setup!$C$7),Setup!$C$4)+($K71-($F71*MAX(0,(Setup!$C$5-Setup!$C$7)-Setup!$C$4)))/($F71*Setup!$C$8),IF(AND($W71&gt;0,$K71&lt;($F71*MAX(0,(Setup!$C$5-Setup!$C$7)-Setup!$C$4))+($F71*Setup!$C$8*MAX(0,Setup!$C$5-MAX((Setup!$C$5-Setup!$C$7),Setup!$C$4)))+($W71/4*MAX(0,Setup!$C$5+4-MAX(Setup!$C$5,Setup!$C$4)))),MAX(Setup!$C$5,Setup!$C$4)+($K71-($F71*MAX(0,(Setup!$C$5-Setup!$C$7)-Setup!$C$4))-($F71*Setup!$C$8*MAX(0,Setup!$C$5-MAX((Setup!$C$5-Setup!$C$7),Setup!$C$4))))/($W71/4),MAX(Setup!$C$5+4,Setup!$C$4)+($K71-($F71*MAX(0,(Setup!$C$5-Setup!$C$7)-Setup!$C$4))-($F71*Setup!$C$8*MAX(0,Setup!$C$5-MAX((Setup!$C$5-Setup!$C$7),Setup!$C$4)))-($W71/4*MAX(0,Setup!$C$5+4-MAX(Setup!$C$5,Setup!$C$4))))/($F71*Setup!$C$14)))))))</f>
        <v/>
      </c>
      <c r="AI71" s="79" t="str">
        <f>IF($R71&lt;&gt;"OK","",IF(AND($L71&lt;&gt;"",$L71&gt;0,ISNUMBER($AH71),$M71&gt;$AH71),"Runs out before the incoming delivery arrives",IF($AB71=0,"OK",IF($K71+IF(AND($L71&lt;&gt;"",$L71&gt;0),IF($M71&lt;=$AG71,$L71,0),0)&lt;($F71*MAX(0,MIN($AG71,(Setup!$C$5-Setup!$C$7))-Setup!$C$4)+$F71*Setup!$C$8*MAX(0,MIN($AG71,Setup!$C$5)-MAX((Setup!$C$5-Setup!$C$7),Setup!$C$4))+$W71/4*MAX(0,MIN($AG71,Setup!$C$5+4)-MAX(Setup!$C$5,Setup!$C$4))+$F71*Setup!$C$14*MAX(0,$AG71-MAX(Setup!$C$5+4,Setup!$C$4))),"Runs out before this order can land","OK"))))</f>
        <v/>
      </c>
      <c r="AJ71" s="78" t="str">
        <f>IF($R71&lt;&gt;"OK","",IF($AB71=0,0,IF($AL71="Too slow: send it all fast",$AB71,$AR71)))</f>
        <v/>
      </c>
      <c r="AK71" s="78" t="str">
        <f>IF($R71&lt;&gt;"OK","",$AB71-$AJ71)</f>
        <v/>
      </c>
      <c r="AL71" s="78" t="str">
        <f>IF($R71&lt;&gt;"OK","",IF($AB71=0,"",IF($AB71-$AR71=0,"Nothing left over",IF($O71="Domestic",IF($AG71&lt;=Setup!$C$6+Setup!$C$20+1,"Later units can go by Domestic","Too slow: send it all fast"),IF($AS71+$N71+Setup!$C$25+Setup!$C$11&lt;=Setup!$C$6+Setup!$C$20+1,"Later units can go by Ocean long",IF($AS71+$N71+Setup!$C$26+Setup!$C$11&lt;=Setup!$C$6+Setup!$C$20+1,"Later units can go by Ocean short",IF($AS71+$N71+Setup!$C$27+Setup!$C$11&lt;=Setup!$C$6+Setup!$C$20+1,"Later units can go by Air",IF($AS71+$N71+Setup!$C$28+Setup!$C$11&lt;=Setup!$C$6+Setup!$C$20+1,"Later units can go by Express","Too slow: send it all fast"))))))))</f>
        <v/>
      </c>
      <c r="AM71" s="94" t="str">
        <f>IF($R71&lt;&gt;"OK","",$E71-$D71)</f>
        <v/>
      </c>
      <c r="AN71" s="95" t="str">
        <f>IF($R71&lt;&gt;"OK","",($E71-$D71)/$D71)</f>
        <v/>
      </c>
      <c r="AO71" s="95" t="str">
        <f>IF($R71&lt;&gt;"OK","",IF($AB71&gt;0,$AN71+IF($C71="Evergreen",1000,0),""))</f>
        <v/>
      </c>
      <c r="AP71" s="78" t="str">
        <f>IF(OR($R71&lt;&gt;"OK",$AO71=""),"",COUNTIF($AO$6:$AO$205,"&gt;"&amp;$AO71)+COUNTIF($AO$6:$AO71,$AO71))</f>
        <v/>
      </c>
      <c r="AQ71" s="78" t="str">
        <f>IF(OR($R71&lt;&gt;"OK",$AP71=""),"",INDEX('Buy list'!$G$5:$G$204,$AP71))</f>
        <v/>
      </c>
      <c r="AR71" s="78" t="str">
        <f>IF($R71&lt;&gt;"OK","",IF($AB71=0,0,MIN($AB71,CEILING(MAX(0,($F71*MAX(0,MIN((Setup!$C$6+1+Setup!$C$20),(Setup!$C$5-Setup!$C$7))-Setup!$C$4)+$F71*Setup!$C$8*MAX(0,MIN((Setup!$C$6+1+Setup!$C$20),Setup!$C$5)-MAX((Setup!$C$5-Setup!$C$7),Setup!$C$4))+$W71/4*MAX(0,MIN((Setup!$C$6+1+Setup!$C$20),Setup!$C$5+4)-MAX(Setup!$C$5,Setup!$C$4))+$F71*Setup!$C$14*MAX(0,(Setup!$C$6+1+Setup!$C$20)-MAX(Setup!$C$5+4,Setup!$C$4)))+$Y71-$K71-IF(AND($L71&lt;&gt;"",$L71&gt;0),IF($M71&lt;=Setup!$C$10,$L71,0),0)),IF(OR($P71="",$P71&lt;=0),1,$P71)))))</f>
        <v/>
      </c>
      <c r="AS71" s="96" t="str">
        <f>IF($R71&lt;&gt;"OK","",IF(AND($O71&lt;&gt;"Domestic",ISNUMBER(Setup!$C$22),Setup!$C$22&gt;Setup!$C$4),Setup!$C$22,Setup!$C$4))</f>
        <v/>
      </c>
      <c r="AT71" s="96" t="str">
        <f>IF($R71&lt;&gt;"OK","",IF($AB71=0,"",IF($O71="Domestic",$AG71,$AS71+$N71+Setup!$C$27+Setup!$C$11)))</f>
        <v/>
      </c>
    </row>
    <row r="72" ht="15" customHeight="1" s="46">
      <c r="A72" s="70" t="n"/>
      <c r="B72" s="70" t="n"/>
      <c r="C72" s="70" t="n"/>
      <c r="D72" s="85" t="n"/>
      <c r="E72" s="85" t="n"/>
      <c r="F72" s="86" t="n"/>
      <c r="G72" s="87" t="n"/>
      <c r="H72" s="88" t="n"/>
      <c r="I72" s="89" t="n"/>
      <c r="J72" s="90" t="n"/>
      <c r="K72" s="87" t="n"/>
      <c r="L72" s="87" t="n"/>
      <c r="M72" s="91" t="n"/>
      <c r="N72" s="92" t="n"/>
      <c r="O72" s="70" t="n"/>
      <c r="P72" s="92" t="n"/>
      <c r="Q72" s="87" t="n"/>
      <c r="R72" s="79" t="str">
        <f>IF($A72="","",IF($C72="","Missing: type",IF(OR($D72="",$D72&lt;=0),"Missing: unit cost",IF($E72="","Missing: unit price",IF($F72="","Missing: daily sales",IF($K72="","Missing: on hand",IF($N72="","Missing: production days",IF($O72="","Missing: freight mode",IF(ISNA(MATCH($O72,Setup!$B$25:$B$29,0)),"Unknown freight mode",IF(AND($L72&lt;&gt;"",$L72&gt;0,$M72=""),"Missing: on-order arrival date","OK"))))))))))</f>
        <v/>
      </c>
      <c r="S72" s="78" t="str">
        <f>IF($R72&lt;&gt;"OK","",IF($G72="","",ROUND($G72/IF(OR($H72="",$H72&lt;=0),4,$H72)*4,0)))</f>
        <v/>
      </c>
      <c r="T72" s="78" t="str">
        <f>IF($R72&lt;&gt;"OK","",ROUND(IF($G72="",$F72*4*Setup!$C$19,$G72/IF(OR($H72="",$H72&lt;=0),4,$H72)*4*(1+IF($I72="",Setup!$C$16,$I72)))*IF($J72="",1,$J72),0))</f>
        <v/>
      </c>
      <c r="U72" s="78" t="str">
        <f>IF($R72&lt;&gt;"OK","",ROUND($T72*Setup!$C$17,0))</f>
        <v/>
      </c>
      <c r="V72" s="78" t="str">
        <f>IF($R72&lt;&gt;"OK","",ROUND($T72*Setup!$C$18,0))</f>
        <v/>
      </c>
      <c r="W72" s="78" t="str">
        <f>IF($R72&lt;&gt;"OK","",IF($C72="Evergreen",$V72,IF($C72="Seasonal or new",$U72,$T72)))</f>
        <v/>
      </c>
      <c r="X72" s="78" t="str">
        <f>IF($R72&lt;&gt;"OK","",ROUND(($F72*MAX(0,MIN(Setup!$C$13+1,(Setup!$C$5-Setup!$C$7))-Setup!$C$4)+$F72*Setup!$C$8*MAX(0,MIN(Setup!$C$13+1,Setup!$C$5)-MAX((Setup!$C$5-Setup!$C$7),Setup!$C$4))+$W72/4*MAX(0,MIN(Setup!$C$13+1,Setup!$C$5+4)-MAX(Setup!$C$5,Setup!$C$4))+$F72*Setup!$C$14*MAX(0,Setup!$C$13+1-MAX(Setup!$C$5+4,Setup!$C$4))),0))</f>
        <v/>
      </c>
      <c r="Y72" s="78" t="str">
        <f>IF($R72&lt;&gt;"OK","",ROUND($F72*Setup!$C$15,0))</f>
        <v/>
      </c>
      <c r="Z72" s="78" t="str">
        <f>IF($R72&lt;&gt;"OK","",IF(AND($L72&lt;&gt;"",$L72&gt;0),IF($M72&lt;=Setup!$C$13,$L72,0),0))</f>
        <v/>
      </c>
      <c r="AA72" s="78" t="str">
        <f>IF($R72&lt;&gt;"OK","",MAX(0,$X72+$Y72-$K72-$Z72))</f>
        <v/>
      </c>
      <c r="AB72" s="78" t="str">
        <f>IF($R72&lt;&gt;"OK","",IF($AA72=0,0,CEILING(MAX($AA72,IF($Q72="",0,$Q72)),IF(OR($P72="",$P72&lt;=0),1,$P72))))</f>
        <v/>
      </c>
      <c r="AC72" s="78" t="str">
        <f>IF($R72&lt;&gt;"OK","",$AB72*$D72)</f>
        <v/>
      </c>
      <c r="AD72" s="93" t="str">
        <f>IF($R72&lt;&gt;"OK","",INDEX(Setup!$D$25:$D$29,MATCH($O72,Setup!$B$25:$B$29,0)))</f>
        <v/>
      </c>
      <c r="AE72" s="93" t="str">
        <f>IF($R72&lt;&gt;"OK","",$AD72-$N72)</f>
        <v/>
      </c>
      <c r="AF72" s="79" t="str">
        <f>IF($R72&lt;&gt;"OK","",IF($AB72=0,"No order needed",IF($AE72&gt;=$AS72,"Order by the deadline",IF(AND($O72&lt;&gt;"Domestic",Setup!$D$27-$N72&gt;=$AS72),"Late by this mode: fly it",IF(Setup!$D$28-$N72&gt;=$AS72,"Late: Express courier only",IF($AG72&lt;Setup!$C$5,"Tight: lands before Black Friday",IF(AND($O72&lt;&gt;"Domestic",$AT72&lt;Setup!$C$5),"Tight: by Air lands before Black Friday",IF($AS72+$N72+Setup!$C$28+Setup!$C$11&lt;Setup!$C$5,"Tight: by Express lands before Black Friday","Too late: ration"))))))))</f>
        <v/>
      </c>
      <c r="AG72" s="93" t="str">
        <f>IF($R72&lt;&gt;"OK","",IF($AB72=0,"",$AS72+$N72+INDEX(Setup!$C$25:$C$29,MATCH($O72,Setup!$B$25:$B$29,0))+Setup!$C$11))</f>
        <v/>
      </c>
      <c r="AH72" s="93" t="str">
        <f>IF($R72&lt;&gt;"OK","",IF($F72&lt;=0,"",INT(IF($K72&lt;($F72*MAX(0,(Setup!$C$5-Setup!$C$7)-Setup!$C$4)),Setup!$C$4+$K72/$F72,IF($K72&lt;($F72*MAX(0,(Setup!$C$5-Setup!$C$7)-Setup!$C$4))+($F72*Setup!$C$8*MAX(0,Setup!$C$5-MAX((Setup!$C$5-Setup!$C$7),Setup!$C$4))),MAX((Setup!$C$5-Setup!$C$7),Setup!$C$4)+($K72-($F72*MAX(0,(Setup!$C$5-Setup!$C$7)-Setup!$C$4)))/($F72*Setup!$C$8),IF(AND($W72&gt;0,$K72&lt;($F72*MAX(0,(Setup!$C$5-Setup!$C$7)-Setup!$C$4))+($F72*Setup!$C$8*MAX(0,Setup!$C$5-MAX((Setup!$C$5-Setup!$C$7),Setup!$C$4)))+($W72/4*MAX(0,Setup!$C$5+4-MAX(Setup!$C$5,Setup!$C$4)))),MAX(Setup!$C$5,Setup!$C$4)+($K72-($F72*MAX(0,(Setup!$C$5-Setup!$C$7)-Setup!$C$4))-($F72*Setup!$C$8*MAX(0,Setup!$C$5-MAX((Setup!$C$5-Setup!$C$7),Setup!$C$4))))/($W72/4),MAX(Setup!$C$5+4,Setup!$C$4)+($K72-($F72*MAX(0,(Setup!$C$5-Setup!$C$7)-Setup!$C$4))-($F72*Setup!$C$8*MAX(0,Setup!$C$5-MAX((Setup!$C$5-Setup!$C$7),Setup!$C$4)))-($W72/4*MAX(0,Setup!$C$5+4-MAX(Setup!$C$5,Setup!$C$4))))/($F72*Setup!$C$14)))))))</f>
        <v/>
      </c>
      <c r="AI72" s="79" t="str">
        <f>IF($R72&lt;&gt;"OK","",IF(AND($L72&lt;&gt;"",$L72&gt;0,ISNUMBER($AH72),$M72&gt;$AH72),"Runs out before the incoming delivery arrives",IF($AB72=0,"OK",IF($K72+IF(AND($L72&lt;&gt;"",$L72&gt;0),IF($M72&lt;=$AG72,$L72,0),0)&lt;($F72*MAX(0,MIN($AG72,(Setup!$C$5-Setup!$C$7))-Setup!$C$4)+$F72*Setup!$C$8*MAX(0,MIN($AG72,Setup!$C$5)-MAX((Setup!$C$5-Setup!$C$7),Setup!$C$4))+$W72/4*MAX(0,MIN($AG72,Setup!$C$5+4)-MAX(Setup!$C$5,Setup!$C$4))+$F72*Setup!$C$14*MAX(0,$AG72-MAX(Setup!$C$5+4,Setup!$C$4))),"Runs out before this order can land","OK"))))</f>
        <v/>
      </c>
      <c r="AJ72" s="78" t="str">
        <f>IF($R72&lt;&gt;"OK","",IF($AB72=0,0,IF($AL72="Too slow: send it all fast",$AB72,$AR72)))</f>
        <v/>
      </c>
      <c r="AK72" s="78" t="str">
        <f>IF($R72&lt;&gt;"OK","",$AB72-$AJ72)</f>
        <v/>
      </c>
      <c r="AL72" s="78" t="str">
        <f>IF($R72&lt;&gt;"OK","",IF($AB72=0,"",IF($AB72-$AR72=0,"Nothing left over",IF($O72="Domestic",IF($AG72&lt;=Setup!$C$6+Setup!$C$20+1,"Later units can go by Domestic","Too slow: send it all fast"),IF($AS72+$N72+Setup!$C$25+Setup!$C$11&lt;=Setup!$C$6+Setup!$C$20+1,"Later units can go by Ocean long",IF($AS72+$N72+Setup!$C$26+Setup!$C$11&lt;=Setup!$C$6+Setup!$C$20+1,"Later units can go by Ocean short",IF($AS72+$N72+Setup!$C$27+Setup!$C$11&lt;=Setup!$C$6+Setup!$C$20+1,"Later units can go by Air",IF($AS72+$N72+Setup!$C$28+Setup!$C$11&lt;=Setup!$C$6+Setup!$C$20+1,"Later units can go by Express","Too slow: send it all fast"))))))))</f>
        <v/>
      </c>
      <c r="AM72" s="94" t="str">
        <f>IF($R72&lt;&gt;"OK","",$E72-$D72)</f>
        <v/>
      </c>
      <c r="AN72" s="95" t="str">
        <f>IF($R72&lt;&gt;"OK","",($E72-$D72)/$D72)</f>
        <v/>
      </c>
      <c r="AO72" s="95" t="str">
        <f>IF($R72&lt;&gt;"OK","",IF($AB72&gt;0,$AN72+IF($C72="Evergreen",1000,0),""))</f>
        <v/>
      </c>
      <c r="AP72" s="78" t="str">
        <f>IF(OR($R72&lt;&gt;"OK",$AO72=""),"",COUNTIF($AO$6:$AO$205,"&gt;"&amp;$AO72)+COUNTIF($AO$6:$AO72,$AO72))</f>
        <v/>
      </c>
      <c r="AQ72" s="78" t="str">
        <f>IF(OR($R72&lt;&gt;"OK",$AP72=""),"",INDEX('Buy list'!$G$5:$G$204,$AP72))</f>
        <v/>
      </c>
      <c r="AR72" s="78" t="str">
        <f>IF($R72&lt;&gt;"OK","",IF($AB72=0,0,MIN($AB72,CEILING(MAX(0,($F72*MAX(0,MIN((Setup!$C$6+1+Setup!$C$20),(Setup!$C$5-Setup!$C$7))-Setup!$C$4)+$F72*Setup!$C$8*MAX(0,MIN((Setup!$C$6+1+Setup!$C$20),Setup!$C$5)-MAX((Setup!$C$5-Setup!$C$7),Setup!$C$4))+$W72/4*MAX(0,MIN((Setup!$C$6+1+Setup!$C$20),Setup!$C$5+4)-MAX(Setup!$C$5,Setup!$C$4))+$F72*Setup!$C$14*MAX(0,(Setup!$C$6+1+Setup!$C$20)-MAX(Setup!$C$5+4,Setup!$C$4)))+$Y72-$K72-IF(AND($L72&lt;&gt;"",$L72&gt;0),IF($M72&lt;=Setup!$C$10,$L72,0),0)),IF(OR($P72="",$P72&lt;=0),1,$P72)))))</f>
        <v/>
      </c>
      <c r="AS72" s="96" t="str">
        <f>IF($R72&lt;&gt;"OK","",IF(AND($O72&lt;&gt;"Domestic",ISNUMBER(Setup!$C$22),Setup!$C$22&gt;Setup!$C$4),Setup!$C$22,Setup!$C$4))</f>
        <v/>
      </c>
      <c r="AT72" s="96" t="str">
        <f>IF($R72&lt;&gt;"OK","",IF($AB72=0,"",IF($O72="Domestic",$AG72,$AS72+$N72+Setup!$C$27+Setup!$C$11)))</f>
        <v/>
      </c>
    </row>
    <row r="73" ht="15" customHeight="1" s="46">
      <c r="A73" s="70" t="n"/>
      <c r="B73" s="70" t="n"/>
      <c r="C73" s="70" t="n"/>
      <c r="D73" s="85" t="n"/>
      <c r="E73" s="85" t="n"/>
      <c r="F73" s="86" t="n"/>
      <c r="G73" s="87" t="n"/>
      <c r="H73" s="88" t="n"/>
      <c r="I73" s="89" t="n"/>
      <c r="J73" s="90" t="n"/>
      <c r="K73" s="87" t="n"/>
      <c r="L73" s="87" t="n"/>
      <c r="M73" s="91" t="n"/>
      <c r="N73" s="92" t="n"/>
      <c r="O73" s="70" t="n"/>
      <c r="P73" s="92" t="n"/>
      <c r="Q73" s="87" t="n"/>
      <c r="R73" s="79" t="str">
        <f>IF($A73="","",IF($C73="","Missing: type",IF(OR($D73="",$D73&lt;=0),"Missing: unit cost",IF($E73="","Missing: unit price",IF($F73="","Missing: daily sales",IF($K73="","Missing: on hand",IF($N73="","Missing: production days",IF($O73="","Missing: freight mode",IF(ISNA(MATCH($O73,Setup!$B$25:$B$29,0)),"Unknown freight mode",IF(AND($L73&lt;&gt;"",$L73&gt;0,$M73=""),"Missing: on-order arrival date","OK"))))))))))</f>
        <v/>
      </c>
      <c r="S73" s="78" t="str">
        <f>IF($R73&lt;&gt;"OK","",IF($G73="","",ROUND($G73/IF(OR($H73="",$H73&lt;=0),4,$H73)*4,0)))</f>
        <v/>
      </c>
      <c r="T73" s="78" t="str">
        <f>IF($R73&lt;&gt;"OK","",ROUND(IF($G73="",$F73*4*Setup!$C$19,$G73/IF(OR($H73="",$H73&lt;=0),4,$H73)*4*(1+IF($I73="",Setup!$C$16,$I73)))*IF($J73="",1,$J73),0))</f>
        <v/>
      </c>
      <c r="U73" s="78" t="str">
        <f>IF($R73&lt;&gt;"OK","",ROUND($T73*Setup!$C$17,0))</f>
        <v/>
      </c>
      <c r="V73" s="78" t="str">
        <f>IF($R73&lt;&gt;"OK","",ROUND($T73*Setup!$C$18,0))</f>
        <v/>
      </c>
      <c r="W73" s="78" t="str">
        <f>IF($R73&lt;&gt;"OK","",IF($C73="Evergreen",$V73,IF($C73="Seasonal or new",$U73,$T73)))</f>
        <v/>
      </c>
      <c r="X73" s="78" t="str">
        <f>IF($R73&lt;&gt;"OK","",ROUND(($F73*MAX(0,MIN(Setup!$C$13+1,(Setup!$C$5-Setup!$C$7))-Setup!$C$4)+$F73*Setup!$C$8*MAX(0,MIN(Setup!$C$13+1,Setup!$C$5)-MAX((Setup!$C$5-Setup!$C$7),Setup!$C$4))+$W73/4*MAX(0,MIN(Setup!$C$13+1,Setup!$C$5+4)-MAX(Setup!$C$5,Setup!$C$4))+$F73*Setup!$C$14*MAX(0,Setup!$C$13+1-MAX(Setup!$C$5+4,Setup!$C$4))),0))</f>
        <v/>
      </c>
      <c r="Y73" s="78" t="str">
        <f>IF($R73&lt;&gt;"OK","",ROUND($F73*Setup!$C$15,0))</f>
        <v/>
      </c>
      <c r="Z73" s="78" t="str">
        <f>IF($R73&lt;&gt;"OK","",IF(AND($L73&lt;&gt;"",$L73&gt;0),IF($M73&lt;=Setup!$C$13,$L73,0),0))</f>
        <v/>
      </c>
      <c r="AA73" s="78" t="str">
        <f>IF($R73&lt;&gt;"OK","",MAX(0,$X73+$Y73-$K73-$Z73))</f>
        <v/>
      </c>
      <c r="AB73" s="78" t="str">
        <f>IF($R73&lt;&gt;"OK","",IF($AA73=0,0,CEILING(MAX($AA73,IF($Q73="",0,$Q73)),IF(OR($P73="",$P73&lt;=0),1,$P73))))</f>
        <v/>
      </c>
      <c r="AC73" s="78" t="str">
        <f>IF($R73&lt;&gt;"OK","",$AB73*$D73)</f>
        <v/>
      </c>
      <c r="AD73" s="93" t="str">
        <f>IF($R73&lt;&gt;"OK","",INDEX(Setup!$D$25:$D$29,MATCH($O73,Setup!$B$25:$B$29,0)))</f>
        <v/>
      </c>
      <c r="AE73" s="93" t="str">
        <f>IF($R73&lt;&gt;"OK","",$AD73-$N73)</f>
        <v/>
      </c>
      <c r="AF73" s="79" t="str">
        <f>IF($R73&lt;&gt;"OK","",IF($AB73=0,"No order needed",IF($AE73&gt;=$AS73,"Order by the deadline",IF(AND($O73&lt;&gt;"Domestic",Setup!$D$27-$N73&gt;=$AS73),"Late by this mode: fly it",IF(Setup!$D$28-$N73&gt;=$AS73,"Late: Express courier only",IF($AG73&lt;Setup!$C$5,"Tight: lands before Black Friday",IF(AND($O73&lt;&gt;"Domestic",$AT73&lt;Setup!$C$5),"Tight: by Air lands before Black Friday",IF($AS73+$N73+Setup!$C$28+Setup!$C$11&lt;Setup!$C$5,"Tight: by Express lands before Black Friday","Too late: ration"))))))))</f>
        <v/>
      </c>
      <c r="AG73" s="93" t="str">
        <f>IF($R73&lt;&gt;"OK","",IF($AB73=0,"",$AS73+$N73+INDEX(Setup!$C$25:$C$29,MATCH($O73,Setup!$B$25:$B$29,0))+Setup!$C$11))</f>
        <v/>
      </c>
      <c r="AH73" s="93" t="str">
        <f>IF($R73&lt;&gt;"OK","",IF($F73&lt;=0,"",INT(IF($K73&lt;($F73*MAX(0,(Setup!$C$5-Setup!$C$7)-Setup!$C$4)),Setup!$C$4+$K73/$F73,IF($K73&lt;($F73*MAX(0,(Setup!$C$5-Setup!$C$7)-Setup!$C$4))+($F73*Setup!$C$8*MAX(0,Setup!$C$5-MAX((Setup!$C$5-Setup!$C$7),Setup!$C$4))),MAX((Setup!$C$5-Setup!$C$7),Setup!$C$4)+($K73-($F73*MAX(0,(Setup!$C$5-Setup!$C$7)-Setup!$C$4)))/($F73*Setup!$C$8),IF(AND($W73&gt;0,$K73&lt;($F73*MAX(0,(Setup!$C$5-Setup!$C$7)-Setup!$C$4))+($F73*Setup!$C$8*MAX(0,Setup!$C$5-MAX((Setup!$C$5-Setup!$C$7),Setup!$C$4)))+($W73/4*MAX(0,Setup!$C$5+4-MAX(Setup!$C$5,Setup!$C$4)))),MAX(Setup!$C$5,Setup!$C$4)+($K73-($F73*MAX(0,(Setup!$C$5-Setup!$C$7)-Setup!$C$4))-($F73*Setup!$C$8*MAX(0,Setup!$C$5-MAX((Setup!$C$5-Setup!$C$7),Setup!$C$4))))/($W73/4),MAX(Setup!$C$5+4,Setup!$C$4)+($K73-($F73*MAX(0,(Setup!$C$5-Setup!$C$7)-Setup!$C$4))-($F73*Setup!$C$8*MAX(0,Setup!$C$5-MAX((Setup!$C$5-Setup!$C$7),Setup!$C$4)))-($W73/4*MAX(0,Setup!$C$5+4-MAX(Setup!$C$5,Setup!$C$4))))/($F73*Setup!$C$14)))))))</f>
        <v/>
      </c>
      <c r="AI73" s="79" t="str">
        <f>IF($R73&lt;&gt;"OK","",IF(AND($L73&lt;&gt;"",$L73&gt;0,ISNUMBER($AH73),$M73&gt;$AH73),"Runs out before the incoming delivery arrives",IF($AB73=0,"OK",IF($K73+IF(AND($L73&lt;&gt;"",$L73&gt;0),IF($M73&lt;=$AG73,$L73,0),0)&lt;($F73*MAX(0,MIN($AG73,(Setup!$C$5-Setup!$C$7))-Setup!$C$4)+$F73*Setup!$C$8*MAX(0,MIN($AG73,Setup!$C$5)-MAX((Setup!$C$5-Setup!$C$7),Setup!$C$4))+$W73/4*MAX(0,MIN($AG73,Setup!$C$5+4)-MAX(Setup!$C$5,Setup!$C$4))+$F73*Setup!$C$14*MAX(0,$AG73-MAX(Setup!$C$5+4,Setup!$C$4))),"Runs out before this order can land","OK"))))</f>
        <v/>
      </c>
      <c r="AJ73" s="78" t="str">
        <f>IF($R73&lt;&gt;"OK","",IF($AB73=0,0,IF($AL73="Too slow: send it all fast",$AB73,$AR73)))</f>
        <v/>
      </c>
      <c r="AK73" s="78" t="str">
        <f>IF($R73&lt;&gt;"OK","",$AB73-$AJ73)</f>
        <v/>
      </c>
      <c r="AL73" s="78" t="str">
        <f>IF($R73&lt;&gt;"OK","",IF($AB73=0,"",IF($AB73-$AR73=0,"Nothing left over",IF($O73="Domestic",IF($AG73&lt;=Setup!$C$6+Setup!$C$20+1,"Later units can go by Domestic","Too slow: send it all fast"),IF($AS73+$N73+Setup!$C$25+Setup!$C$11&lt;=Setup!$C$6+Setup!$C$20+1,"Later units can go by Ocean long",IF($AS73+$N73+Setup!$C$26+Setup!$C$11&lt;=Setup!$C$6+Setup!$C$20+1,"Later units can go by Ocean short",IF($AS73+$N73+Setup!$C$27+Setup!$C$11&lt;=Setup!$C$6+Setup!$C$20+1,"Later units can go by Air",IF($AS73+$N73+Setup!$C$28+Setup!$C$11&lt;=Setup!$C$6+Setup!$C$20+1,"Later units can go by Express","Too slow: send it all fast"))))))))</f>
        <v/>
      </c>
      <c r="AM73" s="94" t="str">
        <f>IF($R73&lt;&gt;"OK","",$E73-$D73)</f>
        <v/>
      </c>
      <c r="AN73" s="95" t="str">
        <f>IF($R73&lt;&gt;"OK","",($E73-$D73)/$D73)</f>
        <v/>
      </c>
      <c r="AO73" s="95" t="str">
        <f>IF($R73&lt;&gt;"OK","",IF($AB73&gt;0,$AN73+IF($C73="Evergreen",1000,0),""))</f>
        <v/>
      </c>
      <c r="AP73" s="78" t="str">
        <f>IF(OR($R73&lt;&gt;"OK",$AO73=""),"",COUNTIF($AO$6:$AO$205,"&gt;"&amp;$AO73)+COUNTIF($AO$6:$AO73,$AO73))</f>
        <v/>
      </c>
      <c r="AQ73" s="78" t="str">
        <f>IF(OR($R73&lt;&gt;"OK",$AP73=""),"",INDEX('Buy list'!$G$5:$G$204,$AP73))</f>
        <v/>
      </c>
      <c r="AR73" s="78" t="str">
        <f>IF($R73&lt;&gt;"OK","",IF($AB73=0,0,MIN($AB73,CEILING(MAX(0,($F73*MAX(0,MIN((Setup!$C$6+1+Setup!$C$20),(Setup!$C$5-Setup!$C$7))-Setup!$C$4)+$F73*Setup!$C$8*MAX(0,MIN((Setup!$C$6+1+Setup!$C$20),Setup!$C$5)-MAX((Setup!$C$5-Setup!$C$7),Setup!$C$4))+$W73/4*MAX(0,MIN((Setup!$C$6+1+Setup!$C$20),Setup!$C$5+4)-MAX(Setup!$C$5,Setup!$C$4))+$F73*Setup!$C$14*MAX(0,(Setup!$C$6+1+Setup!$C$20)-MAX(Setup!$C$5+4,Setup!$C$4)))+$Y73-$K73-IF(AND($L73&lt;&gt;"",$L73&gt;0),IF($M73&lt;=Setup!$C$10,$L73,0),0)),IF(OR($P73="",$P73&lt;=0),1,$P73)))))</f>
        <v/>
      </c>
      <c r="AS73" s="96" t="str">
        <f>IF($R73&lt;&gt;"OK","",IF(AND($O73&lt;&gt;"Domestic",ISNUMBER(Setup!$C$22),Setup!$C$22&gt;Setup!$C$4),Setup!$C$22,Setup!$C$4))</f>
        <v/>
      </c>
      <c r="AT73" s="96" t="str">
        <f>IF($R73&lt;&gt;"OK","",IF($AB73=0,"",IF($O73="Domestic",$AG73,$AS73+$N73+Setup!$C$27+Setup!$C$11)))</f>
        <v/>
      </c>
    </row>
    <row r="74" ht="15" customHeight="1" s="46">
      <c r="A74" s="70" t="n"/>
      <c r="B74" s="70" t="n"/>
      <c r="C74" s="70" t="n"/>
      <c r="D74" s="85" t="n"/>
      <c r="E74" s="85" t="n"/>
      <c r="F74" s="86" t="n"/>
      <c r="G74" s="87" t="n"/>
      <c r="H74" s="88" t="n"/>
      <c r="I74" s="89" t="n"/>
      <c r="J74" s="90" t="n"/>
      <c r="K74" s="87" t="n"/>
      <c r="L74" s="87" t="n"/>
      <c r="M74" s="91" t="n"/>
      <c r="N74" s="92" t="n"/>
      <c r="O74" s="70" t="n"/>
      <c r="P74" s="92" t="n"/>
      <c r="Q74" s="87" t="n"/>
      <c r="R74" s="79" t="str">
        <f>IF($A74="","",IF($C74="","Missing: type",IF(OR($D74="",$D74&lt;=0),"Missing: unit cost",IF($E74="","Missing: unit price",IF($F74="","Missing: daily sales",IF($K74="","Missing: on hand",IF($N74="","Missing: production days",IF($O74="","Missing: freight mode",IF(ISNA(MATCH($O74,Setup!$B$25:$B$29,0)),"Unknown freight mode",IF(AND($L74&lt;&gt;"",$L74&gt;0,$M74=""),"Missing: on-order arrival date","OK"))))))))))</f>
        <v/>
      </c>
      <c r="S74" s="78" t="str">
        <f>IF($R74&lt;&gt;"OK","",IF($G74="","",ROUND($G74/IF(OR($H74="",$H74&lt;=0),4,$H74)*4,0)))</f>
        <v/>
      </c>
      <c r="T74" s="78" t="str">
        <f>IF($R74&lt;&gt;"OK","",ROUND(IF($G74="",$F74*4*Setup!$C$19,$G74/IF(OR($H74="",$H74&lt;=0),4,$H74)*4*(1+IF($I74="",Setup!$C$16,$I74)))*IF($J74="",1,$J74),0))</f>
        <v/>
      </c>
      <c r="U74" s="78" t="str">
        <f>IF($R74&lt;&gt;"OK","",ROUND($T74*Setup!$C$17,0))</f>
        <v/>
      </c>
      <c r="V74" s="78" t="str">
        <f>IF($R74&lt;&gt;"OK","",ROUND($T74*Setup!$C$18,0))</f>
        <v/>
      </c>
      <c r="W74" s="78" t="str">
        <f>IF($R74&lt;&gt;"OK","",IF($C74="Evergreen",$V74,IF($C74="Seasonal or new",$U74,$T74)))</f>
        <v/>
      </c>
      <c r="X74" s="78" t="str">
        <f>IF($R74&lt;&gt;"OK","",ROUND(($F74*MAX(0,MIN(Setup!$C$13+1,(Setup!$C$5-Setup!$C$7))-Setup!$C$4)+$F74*Setup!$C$8*MAX(0,MIN(Setup!$C$13+1,Setup!$C$5)-MAX((Setup!$C$5-Setup!$C$7),Setup!$C$4))+$W74/4*MAX(0,MIN(Setup!$C$13+1,Setup!$C$5+4)-MAX(Setup!$C$5,Setup!$C$4))+$F74*Setup!$C$14*MAX(0,Setup!$C$13+1-MAX(Setup!$C$5+4,Setup!$C$4))),0))</f>
        <v/>
      </c>
      <c r="Y74" s="78" t="str">
        <f>IF($R74&lt;&gt;"OK","",ROUND($F74*Setup!$C$15,0))</f>
        <v/>
      </c>
      <c r="Z74" s="78" t="str">
        <f>IF($R74&lt;&gt;"OK","",IF(AND($L74&lt;&gt;"",$L74&gt;0),IF($M74&lt;=Setup!$C$13,$L74,0),0))</f>
        <v/>
      </c>
      <c r="AA74" s="78" t="str">
        <f>IF($R74&lt;&gt;"OK","",MAX(0,$X74+$Y74-$K74-$Z74))</f>
        <v/>
      </c>
      <c r="AB74" s="78" t="str">
        <f>IF($R74&lt;&gt;"OK","",IF($AA74=0,0,CEILING(MAX($AA74,IF($Q74="",0,$Q74)),IF(OR($P74="",$P74&lt;=0),1,$P74))))</f>
        <v/>
      </c>
      <c r="AC74" s="78" t="str">
        <f>IF($R74&lt;&gt;"OK","",$AB74*$D74)</f>
        <v/>
      </c>
      <c r="AD74" s="93" t="str">
        <f>IF($R74&lt;&gt;"OK","",INDEX(Setup!$D$25:$D$29,MATCH($O74,Setup!$B$25:$B$29,0)))</f>
        <v/>
      </c>
      <c r="AE74" s="93" t="str">
        <f>IF($R74&lt;&gt;"OK","",$AD74-$N74)</f>
        <v/>
      </c>
      <c r="AF74" s="79" t="str">
        <f>IF($R74&lt;&gt;"OK","",IF($AB74=0,"No order needed",IF($AE74&gt;=$AS74,"Order by the deadline",IF(AND($O74&lt;&gt;"Domestic",Setup!$D$27-$N74&gt;=$AS74),"Late by this mode: fly it",IF(Setup!$D$28-$N74&gt;=$AS74,"Late: Express courier only",IF($AG74&lt;Setup!$C$5,"Tight: lands before Black Friday",IF(AND($O74&lt;&gt;"Domestic",$AT74&lt;Setup!$C$5),"Tight: by Air lands before Black Friday",IF($AS74+$N74+Setup!$C$28+Setup!$C$11&lt;Setup!$C$5,"Tight: by Express lands before Black Friday","Too late: ration"))))))))</f>
        <v/>
      </c>
      <c r="AG74" s="93" t="str">
        <f>IF($R74&lt;&gt;"OK","",IF($AB74=0,"",$AS74+$N74+INDEX(Setup!$C$25:$C$29,MATCH($O74,Setup!$B$25:$B$29,0))+Setup!$C$11))</f>
        <v/>
      </c>
      <c r="AH74" s="93" t="str">
        <f>IF($R74&lt;&gt;"OK","",IF($F74&lt;=0,"",INT(IF($K74&lt;($F74*MAX(0,(Setup!$C$5-Setup!$C$7)-Setup!$C$4)),Setup!$C$4+$K74/$F74,IF($K74&lt;($F74*MAX(0,(Setup!$C$5-Setup!$C$7)-Setup!$C$4))+($F74*Setup!$C$8*MAX(0,Setup!$C$5-MAX((Setup!$C$5-Setup!$C$7),Setup!$C$4))),MAX((Setup!$C$5-Setup!$C$7),Setup!$C$4)+($K74-($F74*MAX(0,(Setup!$C$5-Setup!$C$7)-Setup!$C$4)))/($F74*Setup!$C$8),IF(AND($W74&gt;0,$K74&lt;($F74*MAX(0,(Setup!$C$5-Setup!$C$7)-Setup!$C$4))+($F74*Setup!$C$8*MAX(0,Setup!$C$5-MAX((Setup!$C$5-Setup!$C$7),Setup!$C$4)))+($W74/4*MAX(0,Setup!$C$5+4-MAX(Setup!$C$5,Setup!$C$4)))),MAX(Setup!$C$5,Setup!$C$4)+($K74-($F74*MAX(0,(Setup!$C$5-Setup!$C$7)-Setup!$C$4))-($F74*Setup!$C$8*MAX(0,Setup!$C$5-MAX((Setup!$C$5-Setup!$C$7),Setup!$C$4))))/($W74/4),MAX(Setup!$C$5+4,Setup!$C$4)+($K74-($F74*MAX(0,(Setup!$C$5-Setup!$C$7)-Setup!$C$4))-($F74*Setup!$C$8*MAX(0,Setup!$C$5-MAX((Setup!$C$5-Setup!$C$7),Setup!$C$4)))-($W74/4*MAX(0,Setup!$C$5+4-MAX(Setup!$C$5,Setup!$C$4))))/($F74*Setup!$C$14)))))))</f>
        <v/>
      </c>
      <c r="AI74" s="79" t="str">
        <f>IF($R74&lt;&gt;"OK","",IF(AND($L74&lt;&gt;"",$L74&gt;0,ISNUMBER($AH74),$M74&gt;$AH74),"Runs out before the incoming delivery arrives",IF($AB74=0,"OK",IF($K74+IF(AND($L74&lt;&gt;"",$L74&gt;0),IF($M74&lt;=$AG74,$L74,0),0)&lt;($F74*MAX(0,MIN($AG74,(Setup!$C$5-Setup!$C$7))-Setup!$C$4)+$F74*Setup!$C$8*MAX(0,MIN($AG74,Setup!$C$5)-MAX((Setup!$C$5-Setup!$C$7),Setup!$C$4))+$W74/4*MAX(0,MIN($AG74,Setup!$C$5+4)-MAX(Setup!$C$5,Setup!$C$4))+$F74*Setup!$C$14*MAX(0,$AG74-MAX(Setup!$C$5+4,Setup!$C$4))),"Runs out before this order can land","OK"))))</f>
        <v/>
      </c>
      <c r="AJ74" s="78" t="str">
        <f>IF($R74&lt;&gt;"OK","",IF($AB74=0,0,IF($AL74="Too slow: send it all fast",$AB74,$AR74)))</f>
        <v/>
      </c>
      <c r="AK74" s="78" t="str">
        <f>IF($R74&lt;&gt;"OK","",$AB74-$AJ74)</f>
        <v/>
      </c>
      <c r="AL74" s="78" t="str">
        <f>IF($R74&lt;&gt;"OK","",IF($AB74=0,"",IF($AB74-$AR74=0,"Nothing left over",IF($O74="Domestic",IF($AG74&lt;=Setup!$C$6+Setup!$C$20+1,"Later units can go by Domestic","Too slow: send it all fast"),IF($AS74+$N74+Setup!$C$25+Setup!$C$11&lt;=Setup!$C$6+Setup!$C$20+1,"Later units can go by Ocean long",IF($AS74+$N74+Setup!$C$26+Setup!$C$11&lt;=Setup!$C$6+Setup!$C$20+1,"Later units can go by Ocean short",IF($AS74+$N74+Setup!$C$27+Setup!$C$11&lt;=Setup!$C$6+Setup!$C$20+1,"Later units can go by Air",IF($AS74+$N74+Setup!$C$28+Setup!$C$11&lt;=Setup!$C$6+Setup!$C$20+1,"Later units can go by Express","Too slow: send it all fast"))))))))</f>
        <v/>
      </c>
      <c r="AM74" s="94" t="str">
        <f>IF($R74&lt;&gt;"OK","",$E74-$D74)</f>
        <v/>
      </c>
      <c r="AN74" s="95" t="str">
        <f>IF($R74&lt;&gt;"OK","",($E74-$D74)/$D74)</f>
        <v/>
      </c>
      <c r="AO74" s="95" t="str">
        <f>IF($R74&lt;&gt;"OK","",IF($AB74&gt;0,$AN74+IF($C74="Evergreen",1000,0),""))</f>
        <v/>
      </c>
      <c r="AP74" s="78" t="str">
        <f>IF(OR($R74&lt;&gt;"OK",$AO74=""),"",COUNTIF($AO$6:$AO$205,"&gt;"&amp;$AO74)+COUNTIF($AO$6:$AO74,$AO74))</f>
        <v/>
      </c>
      <c r="AQ74" s="78" t="str">
        <f>IF(OR($R74&lt;&gt;"OK",$AP74=""),"",INDEX('Buy list'!$G$5:$G$204,$AP74))</f>
        <v/>
      </c>
      <c r="AR74" s="78" t="str">
        <f>IF($R74&lt;&gt;"OK","",IF($AB74=0,0,MIN($AB74,CEILING(MAX(0,($F74*MAX(0,MIN((Setup!$C$6+1+Setup!$C$20),(Setup!$C$5-Setup!$C$7))-Setup!$C$4)+$F74*Setup!$C$8*MAX(0,MIN((Setup!$C$6+1+Setup!$C$20),Setup!$C$5)-MAX((Setup!$C$5-Setup!$C$7),Setup!$C$4))+$W74/4*MAX(0,MIN((Setup!$C$6+1+Setup!$C$20),Setup!$C$5+4)-MAX(Setup!$C$5,Setup!$C$4))+$F74*Setup!$C$14*MAX(0,(Setup!$C$6+1+Setup!$C$20)-MAX(Setup!$C$5+4,Setup!$C$4)))+$Y74-$K74-IF(AND($L74&lt;&gt;"",$L74&gt;0),IF($M74&lt;=Setup!$C$10,$L74,0),0)),IF(OR($P74="",$P74&lt;=0),1,$P74)))))</f>
        <v/>
      </c>
      <c r="AS74" s="96" t="str">
        <f>IF($R74&lt;&gt;"OK","",IF(AND($O74&lt;&gt;"Domestic",ISNUMBER(Setup!$C$22),Setup!$C$22&gt;Setup!$C$4),Setup!$C$22,Setup!$C$4))</f>
        <v/>
      </c>
      <c r="AT74" s="96" t="str">
        <f>IF($R74&lt;&gt;"OK","",IF($AB74=0,"",IF($O74="Domestic",$AG74,$AS74+$N74+Setup!$C$27+Setup!$C$11)))</f>
        <v/>
      </c>
    </row>
    <row r="75" ht="15" customHeight="1" s="46">
      <c r="A75" s="70" t="n"/>
      <c r="B75" s="70" t="n"/>
      <c r="C75" s="70" t="n"/>
      <c r="D75" s="85" t="n"/>
      <c r="E75" s="85" t="n"/>
      <c r="F75" s="86" t="n"/>
      <c r="G75" s="87" t="n"/>
      <c r="H75" s="88" t="n"/>
      <c r="I75" s="89" t="n"/>
      <c r="J75" s="90" t="n"/>
      <c r="K75" s="87" t="n"/>
      <c r="L75" s="87" t="n"/>
      <c r="M75" s="91" t="n"/>
      <c r="N75" s="92" t="n"/>
      <c r="O75" s="70" t="n"/>
      <c r="P75" s="92" t="n"/>
      <c r="Q75" s="87" t="n"/>
      <c r="R75" s="79" t="str">
        <f>IF($A75="","",IF($C75="","Missing: type",IF(OR($D75="",$D75&lt;=0),"Missing: unit cost",IF($E75="","Missing: unit price",IF($F75="","Missing: daily sales",IF($K75="","Missing: on hand",IF($N75="","Missing: production days",IF($O75="","Missing: freight mode",IF(ISNA(MATCH($O75,Setup!$B$25:$B$29,0)),"Unknown freight mode",IF(AND($L75&lt;&gt;"",$L75&gt;0,$M75=""),"Missing: on-order arrival date","OK"))))))))))</f>
        <v/>
      </c>
      <c r="S75" s="78" t="str">
        <f>IF($R75&lt;&gt;"OK","",IF($G75="","",ROUND($G75/IF(OR($H75="",$H75&lt;=0),4,$H75)*4,0)))</f>
        <v/>
      </c>
      <c r="T75" s="78" t="str">
        <f>IF($R75&lt;&gt;"OK","",ROUND(IF($G75="",$F75*4*Setup!$C$19,$G75/IF(OR($H75="",$H75&lt;=0),4,$H75)*4*(1+IF($I75="",Setup!$C$16,$I75)))*IF($J75="",1,$J75),0))</f>
        <v/>
      </c>
      <c r="U75" s="78" t="str">
        <f>IF($R75&lt;&gt;"OK","",ROUND($T75*Setup!$C$17,0))</f>
        <v/>
      </c>
      <c r="V75" s="78" t="str">
        <f>IF($R75&lt;&gt;"OK","",ROUND($T75*Setup!$C$18,0))</f>
        <v/>
      </c>
      <c r="W75" s="78" t="str">
        <f>IF($R75&lt;&gt;"OK","",IF($C75="Evergreen",$V75,IF($C75="Seasonal or new",$U75,$T75)))</f>
        <v/>
      </c>
      <c r="X75" s="78" t="str">
        <f>IF($R75&lt;&gt;"OK","",ROUND(($F75*MAX(0,MIN(Setup!$C$13+1,(Setup!$C$5-Setup!$C$7))-Setup!$C$4)+$F75*Setup!$C$8*MAX(0,MIN(Setup!$C$13+1,Setup!$C$5)-MAX((Setup!$C$5-Setup!$C$7),Setup!$C$4))+$W75/4*MAX(0,MIN(Setup!$C$13+1,Setup!$C$5+4)-MAX(Setup!$C$5,Setup!$C$4))+$F75*Setup!$C$14*MAX(0,Setup!$C$13+1-MAX(Setup!$C$5+4,Setup!$C$4))),0))</f>
        <v/>
      </c>
      <c r="Y75" s="78" t="str">
        <f>IF($R75&lt;&gt;"OK","",ROUND($F75*Setup!$C$15,0))</f>
        <v/>
      </c>
      <c r="Z75" s="78" t="str">
        <f>IF($R75&lt;&gt;"OK","",IF(AND($L75&lt;&gt;"",$L75&gt;0),IF($M75&lt;=Setup!$C$13,$L75,0),0))</f>
        <v/>
      </c>
      <c r="AA75" s="78" t="str">
        <f>IF($R75&lt;&gt;"OK","",MAX(0,$X75+$Y75-$K75-$Z75))</f>
        <v/>
      </c>
      <c r="AB75" s="78" t="str">
        <f>IF($R75&lt;&gt;"OK","",IF($AA75=0,0,CEILING(MAX($AA75,IF($Q75="",0,$Q75)),IF(OR($P75="",$P75&lt;=0),1,$P75))))</f>
        <v/>
      </c>
      <c r="AC75" s="78" t="str">
        <f>IF($R75&lt;&gt;"OK","",$AB75*$D75)</f>
        <v/>
      </c>
      <c r="AD75" s="93" t="str">
        <f>IF($R75&lt;&gt;"OK","",INDEX(Setup!$D$25:$D$29,MATCH($O75,Setup!$B$25:$B$29,0)))</f>
        <v/>
      </c>
      <c r="AE75" s="93" t="str">
        <f>IF($R75&lt;&gt;"OK","",$AD75-$N75)</f>
        <v/>
      </c>
      <c r="AF75" s="79" t="str">
        <f>IF($R75&lt;&gt;"OK","",IF($AB75=0,"No order needed",IF($AE75&gt;=$AS75,"Order by the deadline",IF(AND($O75&lt;&gt;"Domestic",Setup!$D$27-$N75&gt;=$AS75),"Late by this mode: fly it",IF(Setup!$D$28-$N75&gt;=$AS75,"Late: Express courier only",IF($AG75&lt;Setup!$C$5,"Tight: lands before Black Friday",IF(AND($O75&lt;&gt;"Domestic",$AT75&lt;Setup!$C$5),"Tight: by Air lands before Black Friday",IF($AS75+$N75+Setup!$C$28+Setup!$C$11&lt;Setup!$C$5,"Tight: by Express lands before Black Friday","Too late: ration"))))))))</f>
        <v/>
      </c>
      <c r="AG75" s="93" t="str">
        <f>IF($R75&lt;&gt;"OK","",IF($AB75=0,"",$AS75+$N75+INDEX(Setup!$C$25:$C$29,MATCH($O75,Setup!$B$25:$B$29,0))+Setup!$C$11))</f>
        <v/>
      </c>
      <c r="AH75" s="93" t="str">
        <f>IF($R75&lt;&gt;"OK","",IF($F75&lt;=0,"",INT(IF($K75&lt;($F75*MAX(0,(Setup!$C$5-Setup!$C$7)-Setup!$C$4)),Setup!$C$4+$K75/$F75,IF($K75&lt;($F75*MAX(0,(Setup!$C$5-Setup!$C$7)-Setup!$C$4))+($F75*Setup!$C$8*MAX(0,Setup!$C$5-MAX((Setup!$C$5-Setup!$C$7),Setup!$C$4))),MAX((Setup!$C$5-Setup!$C$7),Setup!$C$4)+($K75-($F75*MAX(0,(Setup!$C$5-Setup!$C$7)-Setup!$C$4)))/($F75*Setup!$C$8),IF(AND($W75&gt;0,$K75&lt;($F75*MAX(0,(Setup!$C$5-Setup!$C$7)-Setup!$C$4))+($F75*Setup!$C$8*MAX(0,Setup!$C$5-MAX((Setup!$C$5-Setup!$C$7),Setup!$C$4)))+($W75/4*MAX(0,Setup!$C$5+4-MAX(Setup!$C$5,Setup!$C$4)))),MAX(Setup!$C$5,Setup!$C$4)+($K75-($F75*MAX(0,(Setup!$C$5-Setup!$C$7)-Setup!$C$4))-($F75*Setup!$C$8*MAX(0,Setup!$C$5-MAX((Setup!$C$5-Setup!$C$7),Setup!$C$4))))/($W75/4),MAX(Setup!$C$5+4,Setup!$C$4)+($K75-($F75*MAX(0,(Setup!$C$5-Setup!$C$7)-Setup!$C$4))-($F75*Setup!$C$8*MAX(0,Setup!$C$5-MAX((Setup!$C$5-Setup!$C$7),Setup!$C$4)))-($W75/4*MAX(0,Setup!$C$5+4-MAX(Setup!$C$5,Setup!$C$4))))/($F75*Setup!$C$14)))))))</f>
        <v/>
      </c>
      <c r="AI75" s="79" t="str">
        <f>IF($R75&lt;&gt;"OK","",IF(AND($L75&lt;&gt;"",$L75&gt;0,ISNUMBER($AH75),$M75&gt;$AH75),"Runs out before the incoming delivery arrives",IF($AB75=0,"OK",IF($K75+IF(AND($L75&lt;&gt;"",$L75&gt;0),IF($M75&lt;=$AG75,$L75,0),0)&lt;($F75*MAX(0,MIN($AG75,(Setup!$C$5-Setup!$C$7))-Setup!$C$4)+$F75*Setup!$C$8*MAX(0,MIN($AG75,Setup!$C$5)-MAX((Setup!$C$5-Setup!$C$7),Setup!$C$4))+$W75/4*MAX(0,MIN($AG75,Setup!$C$5+4)-MAX(Setup!$C$5,Setup!$C$4))+$F75*Setup!$C$14*MAX(0,$AG75-MAX(Setup!$C$5+4,Setup!$C$4))),"Runs out before this order can land","OK"))))</f>
        <v/>
      </c>
      <c r="AJ75" s="78" t="str">
        <f>IF($R75&lt;&gt;"OK","",IF($AB75=0,0,IF($AL75="Too slow: send it all fast",$AB75,$AR75)))</f>
        <v/>
      </c>
      <c r="AK75" s="78" t="str">
        <f>IF($R75&lt;&gt;"OK","",$AB75-$AJ75)</f>
        <v/>
      </c>
      <c r="AL75" s="78" t="str">
        <f>IF($R75&lt;&gt;"OK","",IF($AB75=0,"",IF($AB75-$AR75=0,"Nothing left over",IF($O75="Domestic",IF($AG75&lt;=Setup!$C$6+Setup!$C$20+1,"Later units can go by Domestic","Too slow: send it all fast"),IF($AS75+$N75+Setup!$C$25+Setup!$C$11&lt;=Setup!$C$6+Setup!$C$20+1,"Later units can go by Ocean long",IF($AS75+$N75+Setup!$C$26+Setup!$C$11&lt;=Setup!$C$6+Setup!$C$20+1,"Later units can go by Ocean short",IF($AS75+$N75+Setup!$C$27+Setup!$C$11&lt;=Setup!$C$6+Setup!$C$20+1,"Later units can go by Air",IF($AS75+$N75+Setup!$C$28+Setup!$C$11&lt;=Setup!$C$6+Setup!$C$20+1,"Later units can go by Express","Too slow: send it all fast"))))))))</f>
        <v/>
      </c>
      <c r="AM75" s="94" t="str">
        <f>IF($R75&lt;&gt;"OK","",$E75-$D75)</f>
        <v/>
      </c>
      <c r="AN75" s="95" t="str">
        <f>IF($R75&lt;&gt;"OK","",($E75-$D75)/$D75)</f>
        <v/>
      </c>
      <c r="AO75" s="95" t="str">
        <f>IF($R75&lt;&gt;"OK","",IF($AB75&gt;0,$AN75+IF($C75="Evergreen",1000,0),""))</f>
        <v/>
      </c>
      <c r="AP75" s="78" t="str">
        <f>IF(OR($R75&lt;&gt;"OK",$AO75=""),"",COUNTIF($AO$6:$AO$205,"&gt;"&amp;$AO75)+COUNTIF($AO$6:$AO75,$AO75))</f>
        <v/>
      </c>
      <c r="AQ75" s="78" t="str">
        <f>IF(OR($R75&lt;&gt;"OK",$AP75=""),"",INDEX('Buy list'!$G$5:$G$204,$AP75))</f>
        <v/>
      </c>
      <c r="AR75" s="78" t="str">
        <f>IF($R75&lt;&gt;"OK","",IF($AB75=0,0,MIN($AB75,CEILING(MAX(0,($F75*MAX(0,MIN((Setup!$C$6+1+Setup!$C$20),(Setup!$C$5-Setup!$C$7))-Setup!$C$4)+$F75*Setup!$C$8*MAX(0,MIN((Setup!$C$6+1+Setup!$C$20),Setup!$C$5)-MAX((Setup!$C$5-Setup!$C$7),Setup!$C$4))+$W75/4*MAX(0,MIN((Setup!$C$6+1+Setup!$C$20),Setup!$C$5+4)-MAX(Setup!$C$5,Setup!$C$4))+$F75*Setup!$C$14*MAX(0,(Setup!$C$6+1+Setup!$C$20)-MAX(Setup!$C$5+4,Setup!$C$4)))+$Y75-$K75-IF(AND($L75&lt;&gt;"",$L75&gt;0),IF($M75&lt;=Setup!$C$10,$L75,0),0)),IF(OR($P75="",$P75&lt;=0),1,$P75)))))</f>
        <v/>
      </c>
      <c r="AS75" s="96" t="str">
        <f>IF($R75&lt;&gt;"OK","",IF(AND($O75&lt;&gt;"Domestic",ISNUMBER(Setup!$C$22),Setup!$C$22&gt;Setup!$C$4),Setup!$C$22,Setup!$C$4))</f>
        <v/>
      </c>
      <c r="AT75" s="96" t="str">
        <f>IF($R75&lt;&gt;"OK","",IF($AB75=0,"",IF($O75="Domestic",$AG75,$AS75+$N75+Setup!$C$27+Setup!$C$11)))</f>
        <v/>
      </c>
    </row>
    <row r="76" ht="15" customHeight="1" s="46">
      <c r="A76" s="70" t="n"/>
      <c r="B76" s="70" t="n"/>
      <c r="C76" s="70" t="n"/>
      <c r="D76" s="85" t="n"/>
      <c r="E76" s="85" t="n"/>
      <c r="F76" s="86" t="n"/>
      <c r="G76" s="87" t="n"/>
      <c r="H76" s="88" t="n"/>
      <c r="I76" s="89" t="n"/>
      <c r="J76" s="90" t="n"/>
      <c r="K76" s="87" t="n"/>
      <c r="L76" s="87" t="n"/>
      <c r="M76" s="91" t="n"/>
      <c r="N76" s="92" t="n"/>
      <c r="O76" s="70" t="n"/>
      <c r="P76" s="92" t="n"/>
      <c r="Q76" s="87" t="n"/>
      <c r="R76" s="79" t="str">
        <f>IF($A76="","",IF($C76="","Missing: type",IF(OR($D76="",$D76&lt;=0),"Missing: unit cost",IF($E76="","Missing: unit price",IF($F76="","Missing: daily sales",IF($K76="","Missing: on hand",IF($N76="","Missing: production days",IF($O76="","Missing: freight mode",IF(ISNA(MATCH($O76,Setup!$B$25:$B$29,0)),"Unknown freight mode",IF(AND($L76&lt;&gt;"",$L76&gt;0,$M76=""),"Missing: on-order arrival date","OK"))))))))))</f>
        <v/>
      </c>
      <c r="S76" s="78" t="str">
        <f>IF($R76&lt;&gt;"OK","",IF($G76="","",ROUND($G76/IF(OR($H76="",$H76&lt;=0),4,$H76)*4,0)))</f>
        <v/>
      </c>
      <c r="T76" s="78" t="str">
        <f>IF($R76&lt;&gt;"OK","",ROUND(IF($G76="",$F76*4*Setup!$C$19,$G76/IF(OR($H76="",$H76&lt;=0),4,$H76)*4*(1+IF($I76="",Setup!$C$16,$I76)))*IF($J76="",1,$J76),0))</f>
        <v/>
      </c>
      <c r="U76" s="78" t="str">
        <f>IF($R76&lt;&gt;"OK","",ROUND($T76*Setup!$C$17,0))</f>
        <v/>
      </c>
      <c r="V76" s="78" t="str">
        <f>IF($R76&lt;&gt;"OK","",ROUND($T76*Setup!$C$18,0))</f>
        <v/>
      </c>
      <c r="W76" s="78" t="str">
        <f>IF($R76&lt;&gt;"OK","",IF($C76="Evergreen",$V76,IF($C76="Seasonal or new",$U76,$T76)))</f>
        <v/>
      </c>
      <c r="X76" s="78" t="str">
        <f>IF($R76&lt;&gt;"OK","",ROUND(($F76*MAX(0,MIN(Setup!$C$13+1,(Setup!$C$5-Setup!$C$7))-Setup!$C$4)+$F76*Setup!$C$8*MAX(0,MIN(Setup!$C$13+1,Setup!$C$5)-MAX((Setup!$C$5-Setup!$C$7),Setup!$C$4))+$W76/4*MAX(0,MIN(Setup!$C$13+1,Setup!$C$5+4)-MAX(Setup!$C$5,Setup!$C$4))+$F76*Setup!$C$14*MAX(0,Setup!$C$13+1-MAX(Setup!$C$5+4,Setup!$C$4))),0))</f>
        <v/>
      </c>
      <c r="Y76" s="78" t="str">
        <f>IF($R76&lt;&gt;"OK","",ROUND($F76*Setup!$C$15,0))</f>
        <v/>
      </c>
      <c r="Z76" s="78" t="str">
        <f>IF($R76&lt;&gt;"OK","",IF(AND($L76&lt;&gt;"",$L76&gt;0),IF($M76&lt;=Setup!$C$13,$L76,0),0))</f>
        <v/>
      </c>
      <c r="AA76" s="78" t="str">
        <f>IF($R76&lt;&gt;"OK","",MAX(0,$X76+$Y76-$K76-$Z76))</f>
        <v/>
      </c>
      <c r="AB76" s="78" t="str">
        <f>IF($R76&lt;&gt;"OK","",IF($AA76=0,0,CEILING(MAX($AA76,IF($Q76="",0,$Q76)),IF(OR($P76="",$P76&lt;=0),1,$P76))))</f>
        <v/>
      </c>
      <c r="AC76" s="78" t="str">
        <f>IF($R76&lt;&gt;"OK","",$AB76*$D76)</f>
        <v/>
      </c>
      <c r="AD76" s="93" t="str">
        <f>IF($R76&lt;&gt;"OK","",INDEX(Setup!$D$25:$D$29,MATCH($O76,Setup!$B$25:$B$29,0)))</f>
        <v/>
      </c>
      <c r="AE76" s="93" t="str">
        <f>IF($R76&lt;&gt;"OK","",$AD76-$N76)</f>
        <v/>
      </c>
      <c r="AF76" s="79" t="str">
        <f>IF($R76&lt;&gt;"OK","",IF($AB76=0,"No order needed",IF($AE76&gt;=$AS76,"Order by the deadline",IF(AND($O76&lt;&gt;"Domestic",Setup!$D$27-$N76&gt;=$AS76),"Late by this mode: fly it",IF(Setup!$D$28-$N76&gt;=$AS76,"Late: Express courier only",IF($AG76&lt;Setup!$C$5,"Tight: lands before Black Friday",IF(AND($O76&lt;&gt;"Domestic",$AT76&lt;Setup!$C$5),"Tight: by Air lands before Black Friday",IF($AS76+$N76+Setup!$C$28+Setup!$C$11&lt;Setup!$C$5,"Tight: by Express lands before Black Friday","Too late: ration"))))))))</f>
        <v/>
      </c>
      <c r="AG76" s="93" t="str">
        <f>IF($R76&lt;&gt;"OK","",IF($AB76=0,"",$AS76+$N76+INDEX(Setup!$C$25:$C$29,MATCH($O76,Setup!$B$25:$B$29,0))+Setup!$C$11))</f>
        <v/>
      </c>
      <c r="AH76" s="93" t="str">
        <f>IF($R76&lt;&gt;"OK","",IF($F76&lt;=0,"",INT(IF($K76&lt;($F76*MAX(0,(Setup!$C$5-Setup!$C$7)-Setup!$C$4)),Setup!$C$4+$K76/$F76,IF($K76&lt;($F76*MAX(0,(Setup!$C$5-Setup!$C$7)-Setup!$C$4))+($F76*Setup!$C$8*MAX(0,Setup!$C$5-MAX((Setup!$C$5-Setup!$C$7),Setup!$C$4))),MAX((Setup!$C$5-Setup!$C$7),Setup!$C$4)+($K76-($F76*MAX(0,(Setup!$C$5-Setup!$C$7)-Setup!$C$4)))/($F76*Setup!$C$8),IF(AND($W76&gt;0,$K76&lt;($F76*MAX(0,(Setup!$C$5-Setup!$C$7)-Setup!$C$4))+($F76*Setup!$C$8*MAX(0,Setup!$C$5-MAX((Setup!$C$5-Setup!$C$7),Setup!$C$4)))+($W76/4*MAX(0,Setup!$C$5+4-MAX(Setup!$C$5,Setup!$C$4)))),MAX(Setup!$C$5,Setup!$C$4)+($K76-($F76*MAX(0,(Setup!$C$5-Setup!$C$7)-Setup!$C$4))-($F76*Setup!$C$8*MAX(0,Setup!$C$5-MAX((Setup!$C$5-Setup!$C$7),Setup!$C$4))))/($W76/4),MAX(Setup!$C$5+4,Setup!$C$4)+($K76-($F76*MAX(0,(Setup!$C$5-Setup!$C$7)-Setup!$C$4))-($F76*Setup!$C$8*MAX(0,Setup!$C$5-MAX((Setup!$C$5-Setup!$C$7),Setup!$C$4)))-($W76/4*MAX(0,Setup!$C$5+4-MAX(Setup!$C$5,Setup!$C$4))))/($F76*Setup!$C$14)))))))</f>
        <v/>
      </c>
      <c r="AI76" s="79" t="str">
        <f>IF($R76&lt;&gt;"OK","",IF(AND($L76&lt;&gt;"",$L76&gt;0,ISNUMBER($AH76),$M76&gt;$AH76),"Runs out before the incoming delivery arrives",IF($AB76=0,"OK",IF($K76+IF(AND($L76&lt;&gt;"",$L76&gt;0),IF($M76&lt;=$AG76,$L76,0),0)&lt;($F76*MAX(0,MIN($AG76,(Setup!$C$5-Setup!$C$7))-Setup!$C$4)+$F76*Setup!$C$8*MAX(0,MIN($AG76,Setup!$C$5)-MAX((Setup!$C$5-Setup!$C$7),Setup!$C$4))+$W76/4*MAX(0,MIN($AG76,Setup!$C$5+4)-MAX(Setup!$C$5,Setup!$C$4))+$F76*Setup!$C$14*MAX(0,$AG76-MAX(Setup!$C$5+4,Setup!$C$4))),"Runs out before this order can land","OK"))))</f>
        <v/>
      </c>
      <c r="AJ76" s="78" t="str">
        <f>IF($R76&lt;&gt;"OK","",IF($AB76=0,0,IF($AL76="Too slow: send it all fast",$AB76,$AR76)))</f>
        <v/>
      </c>
      <c r="AK76" s="78" t="str">
        <f>IF($R76&lt;&gt;"OK","",$AB76-$AJ76)</f>
        <v/>
      </c>
      <c r="AL76" s="78" t="str">
        <f>IF($R76&lt;&gt;"OK","",IF($AB76=0,"",IF($AB76-$AR76=0,"Nothing left over",IF($O76="Domestic",IF($AG76&lt;=Setup!$C$6+Setup!$C$20+1,"Later units can go by Domestic","Too slow: send it all fast"),IF($AS76+$N76+Setup!$C$25+Setup!$C$11&lt;=Setup!$C$6+Setup!$C$20+1,"Later units can go by Ocean long",IF($AS76+$N76+Setup!$C$26+Setup!$C$11&lt;=Setup!$C$6+Setup!$C$20+1,"Later units can go by Ocean short",IF($AS76+$N76+Setup!$C$27+Setup!$C$11&lt;=Setup!$C$6+Setup!$C$20+1,"Later units can go by Air",IF($AS76+$N76+Setup!$C$28+Setup!$C$11&lt;=Setup!$C$6+Setup!$C$20+1,"Later units can go by Express","Too slow: send it all fast"))))))))</f>
        <v/>
      </c>
      <c r="AM76" s="94" t="str">
        <f>IF($R76&lt;&gt;"OK","",$E76-$D76)</f>
        <v/>
      </c>
      <c r="AN76" s="95" t="str">
        <f>IF($R76&lt;&gt;"OK","",($E76-$D76)/$D76)</f>
        <v/>
      </c>
      <c r="AO76" s="95" t="str">
        <f>IF($R76&lt;&gt;"OK","",IF($AB76&gt;0,$AN76+IF($C76="Evergreen",1000,0),""))</f>
        <v/>
      </c>
      <c r="AP76" s="78" t="str">
        <f>IF(OR($R76&lt;&gt;"OK",$AO76=""),"",COUNTIF($AO$6:$AO$205,"&gt;"&amp;$AO76)+COUNTIF($AO$6:$AO76,$AO76))</f>
        <v/>
      </c>
      <c r="AQ76" s="78" t="str">
        <f>IF(OR($R76&lt;&gt;"OK",$AP76=""),"",INDEX('Buy list'!$G$5:$G$204,$AP76))</f>
        <v/>
      </c>
      <c r="AR76" s="78" t="str">
        <f>IF($R76&lt;&gt;"OK","",IF($AB76=0,0,MIN($AB76,CEILING(MAX(0,($F76*MAX(0,MIN((Setup!$C$6+1+Setup!$C$20),(Setup!$C$5-Setup!$C$7))-Setup!$C$4)+$F76*Setup!$C$8*MAX(0,MIN((Setup!$C$6+1+Setup!$C$20),Setup!$C$5)-MAX((Setup!$C$5-Setup!$C$7),Setup!$C$4))+$W76/4*MAX(0,MIN((Setup!$C$6+1+Setup!$C$20),Setup!$C$5+4)-MAX(Setup!$C$5,Setup!$C$4))+$F76*Setup!$C$14*MAX(0,(Setup!$C$6+1+Setup!$C$20)-MAX(Setup!$C$5+4,Setup!$C$4)))+$Y76-$K76-IF(AND($L76&lt;&gt;"",$L76&gt;0),IF($M76&lt;=Setup!$C$10,$L76,0),0)),IF(OR($P76="",$P76&lt;=0),1,$P76)))))</f>
        <v/>
      </c>
      <c r="AS76" s="96" t="str">
        <f>IF($R76&lt;&gt;"OK","",IF(AND($O76&lt;&gt;"Domestic",ISNUMBER(Setup!$C$22),Setup!$C$22&gt;Setup!$C$4),Setup!$C$22,Setup!$C$4))</f>
        <v/>
      </c>
      <c r="AT76" s="96" t="str">
        <f>IF($R76&lt;&gt;"OK","",IF($AB76=0,"",IF($O76="Domestic",$AG76,$AS76+$N76+Setup!$C$27+Setup!$C$11)))</f>
        <v/>
      </c>
    </row>
    <row r="77" ht="15" customHeight="1" s="46">
      <c r="A77" s="70" t="n"/>
      <c r="B77" s="70" t="n"/>
      <c r="C77" s="70" t="n"/>
      <c r="D77" s="85" t="n"/>
      <c r="E77" s="85" t="n"/>
      <c r="F77" s="86" t="n"/>
      <c r="G77" s="87" t="n"/>
      <c r="H77" s="88" t="n"/>
      <c r="I77" s="89" t="n"/>
      <c r="J77" s="90" t="n"/>
      <c r="K77" s="87" t="n"/>
      <c r="L77" s="87" t="n"/>
      <c r="M77" s="91" t="n"/>
      <c r="N77" s="92" t="n"/>
      <c r="O77" s="70" t="n"/>
      <c r="P77" s="92" t="n"/>
      <c r="Q77" s="87" t="n"/>
      <c r="R77" s="79" t="str">
        <f>IF($A77="","",IF($C77="","Missing: type",IF(OR($D77="",$D77&lt;=0),"Missing: unit cost",IF($E77="","Missing: unit price",IF($F77="","Missing: daily sales",IF($K77="","Missing: on hand",IF($N77="","Missing: production days",IF($O77="","Missing: freight mode",IF(ISNA(MATCH($O77,Setup!$B$25:$B$29,0)),"Unknown freight mode",IF(AND($L77&lt;&gt;"",$L77&gt;0,$M77=""),"Missing: on-order arrival date","OK"))))))))))</f>
        <v/>
      </c>
      <c r="S77" s="78" t="str">
        <f>IF($R77&lt;&gt;"OK","",IF($G77="","",ROUND($G77/IF(OR($H77="",$H77&lt;=0),4,$H77)*4,0)))</f>
        <v/>
      </c>
      <c r="T77" s="78" t="str">
        <f>IF($R77&lt;&gt;"OK","",ROUND(IF($G77="",$F77*4*Setup!$C$19,$G77/IF(OR($H77="",$H77&lt;=0),4,$H77)*4*(1+IF($I77="",Setup!$C$16,$I77)))*IF($J77="",1,$J77),0))</f>
        <v/>
      </c>
      <c r="U77" s="78" t="str">
        <f>IF($R77&lt;&gt;"OK","",ROUND($T77*Setup!$C$17,0))</f>
        <v/>
      </c>
      <c r="V77" s="78" t="str">
        <f>IF($R77&lt;&gt;"OK","",ROUND($T77*Setup!$C$18,0))</f>
        <v/>
      </c>
      <c r="W77" s="78" t="str">
        <f>IF($R77&lt;&gt;"OK","",IF($C77="Evergreen",$V77,IF($C77="Seasonal or new",$U77,$T77)))</f>
        <v/>
      </c>
      <c r="X77" s="78" t="str">
        <f>IF($R77&lt;&gt;"OK","",ROUND(($F77*MAX(0,MIN(Setup!$C$13+1,(Setup!$C$5-Setup!$C$7))-Setup!$C$4)+$F77*Setup!$C$8*MAX(0,MIN(Setup!$C$13+1,Setup!$C$5)-MAX((Setup!$C$5-Setup!$C$7),Setup!$C$4))+$W77/4*MAX(0,MIN(Setup!$C$13+1,Setup!$C$5+4)-MAX(Setup!$C$5,Setup!$C$4))+$F77*Setup!$C$14*MAX(0,Setup!$C$13+1-MAX(Setup!$C$5+4,Setup!$C$4))),0))</f>
        <v/>
      </c>
      <c r="Y77" s="78" t="str">
        <f>IF($R77&lt;&gt;"OK","",ROUND($F77*Setup!$C$15,0))</f>
        <v/>
      </c>
      <c r="Z77" s="78" t="str">
        <f>IF($R77&lt;&gt;"OK","",IF(AND($L77&lt;&gt;"",$L77&gt;0),IF($M77&lt;=Setup!$C$13,$L77,0),0))</f>
        <v/>
      </c>
      <c r="AA77" s="78" t="str">
        <f>IF($R77&lt;&gt;"OK","",MAX(0,$X77+$Y77-$K77-$Z77))</f>
        <v/>
      </c>
      <c r="AB77" s="78" t="str">
        <f>IF($R77&lt;&gt;"OK","",IF($AA77=0,0,CEILING(MAX($AA77,IF($Q77="",0,$Q77)),IF(OR($P77="",$P77&lt;=0),1,$P77))))</f>
        <v/>
      </c>
      <c r="AC77" s="78" t="str">
        <f>IF($R77&lt;&gt;"OK","",$AB77*$D77)</f>
        <v/>
      </c>
      <c r="AD77" s="93" t="str">
        <f>IF($R77&lt;&gt;"OK","",INDEX(Setup!$D$25:$D$29,MATCH($O77,Setup!$B$25:$B$29,0)))</f>
        <v/>
      </c>
      <c r="AE77" s="93" t="str">
        <f>IF($R77&lt;&gt;"OK","",$AD77-$N77)</f>
        <v/>
      </c>
      <c r="AF77" s="79" t="str">
        <f>IF($R77&lt;&gt;"OK","",IF($AB77=0,"No order needed",IF($AE77&gt;=$AS77,"Order by the deadline",IF(AND($O77&lt;&gt;"Domestic",Setup!$D$27-$N77&gt;=$AS77),"Late by this mode: fly it",IF(Setup!$D$28-$N77&gt;=$AS77,"Late: Express courier only",IF($AG77&lt;Setup!$C$5,"Tight: lands before Black Friday",IF(AND($O77&lt;&gt;"Domestic",$AT77&lt;Setup!$C$5),"Tight: by Air lands before Black Friday",IF($AS77+$N77+Setup!$C$28+Setup!$C$11&lt;Setup!$C$5,"Tight: by Express lands before Black Friday","Too late: ration"))))))))</f>
        <v/>
      </c>
      <c r="AG77" s="93" t="str">
        <f>IF($R77&lt;&gt;"OK","",IF($AB77=0,"",$AS77+$N77+INDEX(Setup!$C$25:$C$29,MATCH($O77,Setup!$B$25:$B$29,0))+Setup!$C$11))</f>
        <v/>
      </c>
      <c r="AH77" s="93" t="str">
        <f>IF($R77&lt;&gt;"OK","",IF($F77&lt;=0,"",INT(IF($K77&lt;($F77*MAX(0,(Setup!$C$5-Setup!$C$7)-Setup!$C$4)),Setup!$C$4+$K77/$F77,IF($K77&lt;($F77*MAX(0,(Setup!$C$5-Setup!$C$7)-Setup!$C$4))+($F77*Setup!$C$8*MAX(0,Setup!$C$5-MAX((Setup!$C$5-Setup!$C$7),Setup!$C$4))),MAX((Setup!$C$5-Setup!$C$7),Setup!$C$4)+($K77-($F77*MAX(0,(Setup!$C$5-Setup!$C$7)-Setup!$C$4)))/($F77*Setup!$C$8),IF(AND($W77&gt;0,$K77&lt;($F77*MAX(0,(Setup!$C$5-Setup!$C$7)-Setup!$C$4))+($F77*Setup!$C$8*MAX(0,Setup!$C$5-MAX((Setup!$C$5-Setup!$C$7),Setup!$C$4)))+($W77/4*MAX(0,Setup!$C$5+4-MAX(Setup!$C$5,Setup!$C$4)))),MAX(Setup!$C$5,Setup!$C$4)+($K77-($F77*MAX(0,(Setup!$C$5-Setup!$C$7)-Setup!$C$4))-($F77*Setup!$C$8*MAX(0,Setup!$C$5-MAX((Setup!$C$5-Setup!$C$7),Setup!$C$4))))/($W77/4),MAX(Setup!$C$5+4,Setup!$C$4)+($K77-($F77*MAX(0,(Setup!$C$5-Setup!$C$7)-Setup!$C$4))-($F77*Setup!$C$8*MAX(0,Setup!$C$5-MAX((Setup!$C$5-Setup!$C$7),Setup!$C$4)))-($W77/4*MAX(0,Setup!$C$5+4-MAX(Setup!$C$5,Setup!$C$4))))/($F77*Setup!$C$14)))))))</f>
        <v/>
      </c>
      <c r="AI77" s="79" t="str">
        <f>IF($R77&lt;&gt;"OK","",IF(AND($L77&lt;&gt;"",$L77&gt;0,ISNUMBER($AH77),$M77&gt;$AH77),"Runs out before the incoming delivery arrives",IF($AB77=0,"OK",IF($K77+IF(AND($L77&lt;&gt;"",$L77&gt;0),IF($M77&lt;=$AG77,$L77,0),0)&lt;($F77*MAX(0,MIN($AG77,(Setup!$C$5-Setup!$C$7))-Setup!$C$4)+$F77*Setup!$C$8*MAX(0,MIN($AG77,Setup!$C$5)-MAX((Setup!$C$5-Setup!$C$7),Setup!$C$4))+$W77/4*MAX(0,MIN($AG77,Setup!$C$5+4)-MAX(Setup!$C$5,Setup!$C$4))+$F77*Setup!$C$14*MAX(0,$AG77-MAX(Setup!$C$5+4,Setup!$C$4))),"Runs out before this order can land","OK"))))</f>
        <v/>
      </c>
      <c r="AJ77" s="78" t="str">
        <f>IF($R77&lt;&gt;"OK","",IF($AB77=0,0,IF($AL77="Too slow: send it all fast",$AB77,$AR77)))</f>
        <v/>
      </c>
      <c r="AK77" s="78" t="str">
        <f>IF($R77&lt;&gt;"OK","",$AB77-$AJ77)</f>
        <v/>
      </c>
      <c r="AL77" s="78" t="str">
        <f>IF($R77&lt;&gt;"OK","",IF($AB77=0,"",IF($AB77-$AR77=0,"Nothing left over",IF($O77="Domestic",IF($AG77&lt;=Setup!$C$6+Setup!$C$20+1,"Later units can go by Domestic","Too slow: send it all fast"),IF($AS77+$N77+Setup!$C$25+Setup!$C$11&lt;=Setup!$C$6+Setup!$C$20+1,"Later units can go by Ocean long",IF($AS77+$N77+Setup!$C$26+Setup!$C$11&lt;=Setup!$C$6+Setup!$C$20+1,"Later units can go by Ocean short",IF($AS77+$N77+Setup!$C$27+Setup!$C$11&lt;=Setup!$C$6+Setup!$C$20+1,"Later units can go by Air",IF($AS77+$N77+Setup!$C$28+Setup!$C$11&lt;=Setup!$C$6+Setup!$C$20+1,"Later units can go by Express","Too slow: send it all fast"))))))))</f>
        <v/>
      </c>
      <c r="AM77" s="94" t="str">
        <f>IF($R77&lt;&gt;"OK","",$E77-$D77)</f>
        <v/>
      </c>
      <c r="AN77" s="95" t="str">
        <f>IF($R77&lt;&gt;"OK","",($E77-$D77)/$D77)</f>
        <v/>
      </c>
      <c r="AO77" s="95" t="str">
        <f>IF($R77&lt;&gt;"OK","",IF($AB77&gt;0,$AN77+IF($C77="Evergreen",1000,0),""))</f>
        <v/>
      </c>
      <c r="AP77" s="78" t="str">
        <f>IF(OR($R77&lt;&gt;"OK",$AO77=""),"",COUNTIF($AO$6:$AO$205,"&gt;"&amp;$AO77)+COUNTIF($AO$6:$AO77,$AO77))</f>
        <v/>
      </c>
      <c r="AQ77" s="78" t="str">
        <f>IF(OR($R77&lt;&gt;"OK",$AP77=""),"",INDEX('Buy list'!$G$5:$G$204,$AP77))</f>
        <v/>
      </c>
      <c r="AR77" s="78" t="str">
        <f>IF($R77&lt;&gt;"OK","",IF($AB77=0,0,MIN($AB77,CEILING(MAX(0,($F77*MAX(0,MIN((Setup!$C$6+1+Setup!$C$20),(Setup!$C$5-Setup!$C$7))-Setup!$C$4)+$F77*Setup!$C$8*MAX(0,MIN((Setup!$C$6+1+Setup!$C$20),Setup!$C$5)-MAX((Setup!$C$5-Setup!$C$7),Setup!$C$4))+$W77/4*MAX(0,MIN((Setup!$C$6+1+Setup!$C$20),Setup!$C$5+4)-MAX(Setup!$C$5,Setup!$C$4))+$F77*Setup!$C$14*MAX(0,(Setup!$C$6+1+Setup!$C$20)-MAX(Setup!$C$5+4,Setup!$C$4)))+$Y77-$K77-IF(AND($L77&lt;&gt;"",$L77&gt;0),IF($M77&lt;=Setup!$C$10,$L77,0),0)),IF(OR($P77="",$P77&lt;=0),1,$P77)))))</f>
        <v/>
      </c>
      <c r="AS77" s="96" t="str">
        <f>IF($R77&lt;&gt;"OK","",IF(AND($O77&lt;&gt;"Domestic",ISNUMBER(Setup!$C$22),Setup!$C$22&gt;Setup!$C$4),Setup!$C$22,Setup!$C$4))</f>
        <v/>
      </c>
      <c r="AT77" s="96" t="str">
        <f>IF($R77&lt;&gt;"OK","",IF($AB77=0,"",IF($O77="Domestic",$AG77,$AS77+$N77+Setup!$C$27+Setup!$C$11)))</f>
        <v/>
      </c>
    </row>
    <row r="78" ht="15" customHeight="1" s="46">
      <c r="A78" s="70" t="n"/>
      <c r="B78" s="70" t="n"/>
      <c r="C78" s="70" t="n"/>
      <c r="D78" s="85" t="n"/>
      <c r="E78" s="85" t="n"/>
      <c r="F78" s="86" t="n"/>
      <c r="G78" s="87" t="n"/>
      <c r="H78" s="88" t="n"/>
      <c r="I78" s="89" t="n"/>
      <c r="J78" s="90" t="n"/>
      <c r="K78" s="87" t="n"/>
      <c r="L78" s="87" t="n"/>
      <c r="M78" s="91" t="n"/>
      <c r="N78" s="92" t="n"/>
      <c r="O78" s="70" t="n"/>
      <c r="P78" s="92" t="n"/>
      <c r="Q78" s="87" t="n"/>
      <c r="R78" s="79" t="str">
        <f>IF($A78="","",IF($C78="","Missing: type",IF(OR($D78="",$D78&lt;=0),"Missing: unit cost",IF($E78="","Missing: unit price",IF($F78="","Missing: daily sales",IF($K78="","Missing: on hand",IF($N78="","Missing: production days",IF($O78="","Missing: freight mode",IF(ISNA(MATCH($O78,Setup!$B$25:$B$29,0)),"Unknown freight mode",IF(AND($L78&lt;&gt;"",$L78&gt;0,$M78=""),"Missing: on-order arrival date","OK"))))))))))</f>
        <v/>
      </c>
      <c r="S78" s="78" t="str">
        <f>IF($R78&lt;&gt;"OK","",IF($G78="","",ROUND($G78/IF(OR($H78="",$H78&lt;=0),4,$H78)*4,0)))</f>
        <v/>
      </c>
      <c r="T78" s="78" t="str">
        <f>IF($R78&lt;&gt;"OK","",ROUND(IF($G78="",$F78*4*Setup!$C$19,$G78/IF(OR($H78="",$H78&lt;=0),4,$H78)*4*(1+IF($I78="",Setup!$C$16,$I78)))*IF($J78="",1,$J78),0))</f>
        <v/>
      </c>
      <c r="U78" s="78" t="str">
        <f>IF($R78&lt;&gt;"OK","",ROUND($T78*Setup!$C$17,0))</f>
        <v/>
      </c>
      <c r="V78" s="78" t="str">
        <f>IF($R78&lt;&gt;"OK","",ROUND($T78*Setup!$C$18,0))</f>
        <v/>
      </c>
      <c r="W78" s="78" t="str">
        <f>IF($R78&lt;&gt;"OK","",IF($C78="Evergreen",$V78,IF($C78="Seasonal or new",$U78,$T78)))</f>
        <v/>
      </c>
      <c r="X78" s="78" t="str">
        <f>IF($R78&lt;&gt;"OK","",ROUND(($F78*MAX(0,MIN(Setup!$C$13+1,(Setup!$C$5-Setup!$C$7))-Setup!$C$4)+$F78*Setup!$C$8*MAX(0,MIN(Setup!$C$13+1,Setup!$C$5)-MAX((Setup!$C$5-Setup!$C$7),Setup!$C$4))+$W78/4*MAX(0,MIN(Setup!$C$13+1,Setup!$C$5+4)-MAX(Setup!$C$5,Setup!$C$4))+$F78*Setup!$C$14*MAX(0,Setup!$C$13+1-MAX(Setup!$C$5+4,Setup!$C$4))),0))</f>
        <v/>
      </c>
      <c r="Y78" s="78" t="str">
        <f>IF($R78&lt;&gt;"OK","",ROUND($F78*Setup!$C$15,0))</f>
        <v/>
      </c>
      <c r="Z78" s="78" t="str">
        <f>IF($R78&lt;&gt;"OK","",IF(AND($L78&lt;&gt;"",$L78&gt;0),IF($M78&lt;=Setup!$C$13,$L78,0),0))</f>
        <v/>
      </c>
      <c r="AA78" s="78" t="str">
        <f>IF($R78&lt;&gt;"OK","",MAX(0,$X78+$Y78-$K78-$Z78))</f>
        <v/>
      </c>
      <c r="AB78" s="78" t="str">
        <f>IF($R78&lt;&gt;"OK","",IF($AA78=0,0,CEILING(MAX($AA78,IF($Q78="",0,$Q78)),IF(OR($P78="",$P78&lt;=0),1,$P78))))</f>
        <v/>
      </c>
      <c r="AC78" s="78" t="str">
        <f>IF($R78&lt;&gt;"OK","",$AB78*$D78)</f>
        <v/>
      </c>
      <c r="AD78" s="93" t="str">
        <f>IF($R78&lt;&gt;"OK","",INDEX(Setup!$D$25:$D$29,MATCH($O78,Setup!$B$25:$B$29,0)))</f>
        <v/>
      </c>
      <c r="AE78" s="93" t="str">
        <f>IF($R78&lt;&gt;"OK","",$AD78-$N78)</f>
        <v/>
      </c>
      <c r="AF78" s="79" t="str">
        <f>IF($R78&lt;&gt;"OK","",IF($AB78=0,"No order needed",IF($AE78&gt;=$AS78,"Order by the deadline",IF(AND($O78&lt;&gt;"Domestic",Setup!$D$27-$N78&gt;=$AS78),"Late by this mode: fly it",IF(Setup!$D$28-$N78&gt;=$AS78,"Late: Express courier only",IF($AG78&lt;Setup!$C$5,"Tight: lands before Black Friday",IF(AND($O78&lt;&gt;"Domestic",$AT78&lt;Setup!$C$5),"Tight: by Air lands before Black Friday",IF($AS78+$N78+Setup!$C$28+Setup!$C$11&lt;Setup!$C$5,"Tight: by Express lands before Black Friday","Too late: ration"))))))))</f>
        <v/>
      </c>
      <c r="AG78" s="93" t="str">
        <f>IF($R78&lt;&gt;"OK","",IF($AB78=0,"",$AS78+$N78+INDEX(Setup!$C$25:$C$29,MATCH($O78,Setup!$B$25:$B$29,0))+Setup!$C$11))</f>
        <v/>
      </c>
      <c r="AH78" s="93" t="str">
        <f>IF($R78&lt;&gt;"OK","",IF($F78&lt;=0,"",INT(IF($K78&lt;($F78*MAX(0,(Setup!$C$5-Setup!$C$7)-Setup!$C$4)),Setup!$C$4+$K78/$F78,IF($K78&lt;($F78*MAX(0,(Setup!$C$5-Setup!$C$7)-Setup!$C$4))+($F78*Setup!$C$8*MAX(0,Setup!$C$5-MAX((Setup!$C$5-Setup!$C$7),Setup!$C$4))),MAX((Setup!$C$5-Setup!$C$7),Setup!$C$4)+($K78-($F78*MAX(0,(Setup!$C$5-Setup!$C$7)-Setup!$C$4)))/($F78*Setup!$C$8),IF(AND($W78&gt;0,$K78&lt;($F78*MAX(0,(Setup!$C$5-Setup!$C$7)-Setup!$C$4))+($F78*Setup!$C$8*MAX(0,Setup!$C$5-MAX((Setup!$C$5-Setup!$C$7),Setup!$C$4)))+($W78/4*MAX(0,Setup!$C$5+4-MAX(Setup!$C$5,Setup!$C$4)))),MAX(Setup!$C$5,Setup!$C$4)+($K78-($F78*MAX(0,(Setup!$C$5-Setup!$C$7)-Setup!$C$4))-($F78*Setup!$C$8*MAX(0,Setup!$C$5-MAX((Setup!$C$5-Setup!$C$7),Setup!$C$4))))/($W78/4),MAX(Setup!$C$5+4,Setup!$C$4)+($K78-($F78*MAX(0,(Setup!$C$5-Setup!$C$7)-Setup!$C$4))-($F78*Setup!$C$8*MAX(0,Setup!$C$5-MAX((Setup!$C$5-Setup!$C$7),Setup!$C$4)))-($W78/4*MAX(0,Setup!$C$5+4-MAX(Setup!$C$5,Setup!$C$4))))/($F78*Setup!$C$14)))))))</f>
        <v/>
      </c>
      <c r="AI78" s="79" t="str">
        <f>IF($R78&lt;&gt;"OK","",IF(AND($L78&lt;&gt;"",$L78&gt;0,ISNUMBER($AH78),$M78&gt;$AH78),"Runs out before the incoming delivery arrives",IF($AB78=0,"OK",IF($K78+IF(AND($L78&lt;&gt;"",$L78&gt;0),IF($M78&lt;=$AG78,$L78,0),0)&lt;($F78*MAX(0,MIN($AG78,(Setup!$C$5-Setup!$C$7))-Setup!$C$4)+$F78*Setup!$C$8*MAX(0,MIN($AG78,Setup!$C$5)-MAX((Setup!$C$5-Setup!$C$7),Setup!$C$4))+$W78/4*MAX(0,MIN($AG78,Setup!$C$5+4)-MAX(Setup!$C$5,Setup!$C$4))+$F78*Setup!$C$14*MAX(0,$AG78-MAX(Setup!$C$5+4,Setup!$C$4))),"Runs out before this order can land","OK"))))</f>
        <v/>
      </c>
      <c r="AJ78" s="78" t="str">
        <f>IF($R78&lt;&gt;"OK","",IF($AB78=0,0,IF($AL78="Too slow: send it all fast",$AB78,$AR78)))</f>
        <v/>
      </c>
      <c r="AK78" s="78" t="str">
        <f>IF($R78&lt;&gt;"OK","",$AB78-$AJ78)</f>
        <v/>
      </c>
      <c r="AL78" s="78" t="str">
        <f>IF($R78&lt;&gt;"OK","",IF($AB78=0,"",IF($AB78-$AR78=0,"Nothing left over",IF($O78="Domestic",IF($AG78&lt;=Setup!$C$6+Setup!$C$20+1,"Later units can go by Domestic","Too slow: send it all fast"),IF($AS78+$N78+Setup!$C$25+Setup!$C$11&lt;=Setup!$C$6+Setup!$C$20+1,"Later units can go by Ocean long",IF($AS78+$N78+Setup!$C$26+Setup!$C$11&lt;=Setup!$C$6+Setup!$C$20+1,"Later units can go by Ocean short",IF($AS78+$N78+Setup!$C$27+Setup!$C$11&lt;=Setup!$C$6+Setup!$C$20+1,"Later units can go by Air",IF($AS78+$N78+Setup!$C$28+Setup!$C$11&lt;=Setup!$C$6+Setup!$C$20+1,"Later units can go by Express","Too slow: send it all fast"))))))))</f>
        <v/>
      </c>
      <c r="AM78" s="94" t="str">
        <f>IF($R78&lt;&gt;"OK","",$E78-$D78)</f>
        <v/>
      </c>
      <c r="AN78" s="95" t="str">
        <f>IF($R78&lt;&gt;"OK","",($E78-$D78)/$D78)</f>
        <v/>
      </c>
      <c r="AO78" s="95" t="str">
        <f>IF($R78&lt;&gt;"OK","",IF($AB78&gt;0,$AN78+IF($C78="Evergreen",1000,0),""))</f>
        <v/>
      </c>
      <c r="AP78" s="78" t="str">
        <f>IF(OR($R78&lt;&gt;"OK",$AO78=""),"",COUNTIF($AO$6:$AO$205,"&gt;"&amp;$AO78)+COUNTIF($AO$6:$AO78,$AO78))</f>
        <v/>
      </c>
      <c r="AQ78" s="78" t="str">
        <f>IF(OR($R78&lt;&gt;"OK",$AP78=""),"",INDEX('Buy list'!$G$5:$G$204,$AP78))</f>
        <v/>
      </c>
      <c r="AR78" s="78" t="str">
        <f>IF($R78&lt;&gt;"OK","",IF($AB78=0,0,MIN($AB78,CEILING(MAX(0,($F78*MAX(0,MIN((Setup!$C$6+1+Setup!$C$20),(Setup!$C$5-Setup!$C$7))-Setup!$C$4)+$F78*Setup!$C$8*MAX(0,MIN((Setup!$C$6+1+Setup!$C$20),Setup!$C$5)-MAX((Setup!$C$5-Setup!$C$7),Setup!$C$4))+$W78/4*MAX(0,MIN((Setup!$C$6+1+Setup!$C$20),Setup!$C$5+4)-MAX(Setup!$C$5,Setup!$C$4))+$F78*Setup!$C$14*MAX(0,(Setup!$C$6+1+Setup!$C$20)-MAX(Setup!$C$5+4,Setup!$C$4)))+$Y78-$K78-IF(AND($L78&lt;&gt;"",$L78&gt;0),IF($M78&lt;=Setup!$C$10,$L78,0),0)),IF(OR($P78="",$P78&lt;=0),1,$P78)))))</f>
        <v/>
      </c>
      <c r="AS78" s="96" t="str">
        <f>IF($R78&lt;&gt;"OK","",IF(AND($O78&lt;&gt;"Domestic",ISNUMBER(Setup!$C$22),Setup!$C$22&gt;Setup!$C$4),Setup!$C$22,Setup!$C$4))</f>
        <v/>
      </c>
      <c r="AT78" s="96" t="str">
        <f>IF($R78&lt;&gt;"OK","",IF($AB78=0,"",IF($O78="Domestic",$AG78,$AS78+$N78+Setup!$C$27+Setup!$C$11)))</f>
        <v/>
      </c>
    </row>
    <row r="79" ht="15" customHeight="1" s="46">
      <c r="A79" s="70" t="n"/>
      <c r="B79" s="70" t="n"/>
      <c r="C79" s="70" t="n"/>
      <c r="D79" s="85" t="n"/>
      <c r="E79" s="85" t="n"/>
      <c r="F79" s="86" t="n"/>
      <c r="G79" s="87" t="n"/>
      <c r="H79" s="88" t="n"/>
      <c r="I79" s="89" t="n"/>
      <c r="J79" s="90" t="n"/>
      <c r="K79" s="87" t="n"/>
      <c r="L79" s="87" t="n"/>
      <c r="M79" s="91" t="n"/>
      <c r="N79" s="92" t="n"/>
      <c r="O79" s="70" t="n"/>
      <c r="P79" s="92" t="n"/>
      <c r="Q79" s="87" t="n"/>
      <c r="R79" s="79" t="str">
        <f>IF($A79="","",IF($C79="","Missing: type",IF(OR($D79="",$D79&lt;=0),"Missing: unit cost",IF($E79="","Missing: unit price",IF($F79="","Missing: daily sales",IF($K79="","Missing: on hand",IF($N79="","Missing: production days",IF($O79="","Missing: freight mode",IF(ISNA(MATCH($O79,Setup!$B$25:$B$29,0)),"Unknown freight mode",IF(AND($L79&lt;&gt;"",$L79&gt;0,$M79=""),"Missing: on-order arrival date","OK"))))))))))</f>
        <v/>
      </c>
      <c r="S79" s="78" t="str">
        <f>IF($R79&lt;&gt;"OK","",IF($G79="","",ROUND($G79/IF(OR($H79="",$H79&lt;=0),4,$H79)*4,0)))</f>
        <v/>
      </c>
      <c r="T79" s="78" t="str">
        <f>IF($R79&lt;&gt;"OK","",ROUND(IF($G79="",$F79*4*Setup!$C$19,$G79/IF(OR($H79="",$H79&lt;=0),4,$H79)*4*(1+IF($I79="",Setup!$C$16,$I79)))*IF($J79="",1,$J79),0))</f>
        <v/>
      </c>
      <c r="U79" s="78" t="str">
        <f>IF($R79&lt;&gt;"OK","",ROUND($T79*Setup!$C$17,0))</f>
        <v/>
      </c>
      <c r="V79" s="78" t="str">
        <f>IF($R79&lt;&gt;"OK","",ROUND($T79*Setup!$C$18,0))</f>
        <v/>
      </c>
      <c r="W79" s="78" t="str">
        <f>IF($R79&lt;&gt;"OK","",IF($C79="Evergreen",$V79,IF($C79="Seasonal or new",$U79,$T79)))</f>
        <v/>
      </c>
      <c r="X79" s="78" t="str">
        <f>IF($R79&lt;&gt;"OK","",ROUND(($F79*MAX(0,MIN(Setup!$C$13+1,(Setup!$C$5-Setup!$C$7))-Setup!$C$4)+$F79*Setup!$C$8*MAX(0,MIN(Setup!$C$13+1,Setup!$C$5)-MAX((Setup!$C$5-Setup!$C$7),Setup!$C$4))+$W79/4*MAX(0,MIN(Setup!$C$13+1,Setup!$C$5+4)-MAX(Setup!$C$5,Setup!$C$4))+$F79*Setup!$C$14*MAX(0,Setup!$C$13+1-MAX(Setup!$C$5+4,Setup!$C$4))),0))</f>
        <v/>
      </c>
      <c r="Y79" s="78" t="str">
        <f>IF($R79&lt;&gt;"OK","",ROUND($F79*Setup!$C$15,0))</f>
        <v/>
      </c>
      <c r="Z79" s="78" t="str">
        <f>IF($R79&lt;&gt;"OK","",IF(AND($L79&lt;&gt;"",$L79&gt;0),IF($M79&lt;=Setup!$C$13,$L79,0),0))</f>
        <v/>
      </c>
      <c r="AA79" s="78" t="str">
        <f>IF($R79&lt;&gt;"OK","",MAX(0,$X79+$Y79-$K79-$Z79))</f>
        <v/>
      </c>
      <c r="AB79" s="78" t="str">
        <f>IF($R79&lt;&gt;"OK","",IF($AA79=0,0,CEILING(MAX($AA79,IF($Q79="",0,$Q79)),IF(OR($P79="",$P79&lt;=0),1,$P79))))</f>
        <v/>
      </c>
      <c r="AC79" s="78" t="str">
        <f>IF($R79&lt;&gt;"OK","",$AB79*$D79)</f>
        <v/>
      </c>
      <c r="AD79" s="93" t="str">
        <f>IF($R79&lt;&gt;"OK","",INDEX(Setup!$D$25:$D$29,MATCH($O79,Setup!$B$25:$B$29,0)))</f>
        <v/>
      </c>
      <c r="AE79" s="93" t="str">
        <f>IF($R79&lt;&gt;"OK","",$AD79-$N79)</f>
        <v/>
      </c>
      <c r="AF79" s="79" t="str">
        <f>IF($R79&lt;&gt;"OK","",IF($AB79=0,"No order needed",IF($AE79&gt;=$AS79,"Order by the deadline",IF(AND($O79&lt;&gt;"Domestic",Setup!$D$27-$N79&gt;=$AS79),"Late by this mode: fly it",IF(Setup!$D$28-$N79&gt;=$AS79,"Late: Express courier only",IF($AG79&lt;Setup!$C$5,"Tight: lands before Black Friday",IF(AND($O79&lt;&gt;"Domestic",$AT79&lt;Setup!$C$5),"Tight: by Air lands before Black Friday",IF($AS79+$N79+Setup!$C$28+Setup!$C$11&lt;Setup!$C$5,"Tight: by Express lands before Black Friday","Too late: ration"))))))))</f>
        <v/>
      </c>
      <c r="AG79" s="93" t="str">
        <f>IF($R79&lt;&gt;"OK","",IF($AB79=0,"",$AS79+$N79+INDEX(Setup!$C$25:$C$29,MATCH($O79,Setup!$B$25:$B$29,0))+Setup!$C$11))</f>
        <v/>
      </c>
      <c r="AH79" s="93" t="str">
        <f>IF($R79&lt;&gt;"OK","",IF($F79&lt;=0,"",INT(IF($K79&lt;($F79*MAX(0,(Setup!$C$5-Setup!$C$7)-Setup!$C$4)),Setup!$C$4+$K79/$F79,IF($K79&lt;($F79*MAX(0,(Setup!$C$5-Setup!$C$7)-Setup!$C$4))+($F79*Setup!$C$8*MAX(0,Setup!$C$5-MAX((Setup!$C$5-Setup!$C$7),Setup!$C$4))),MAX((Setup!$C$5-Setup!$C$7),Setup!$C$4)+($K79-($F79*MAX(0,(Setup!$C$5-Setup!$C$7)-Setup!$C$4)))/($F79*Setup!$C$8),IF(AND($W79&gt;0,$K79&lt;($F79*MAX(0,(Setup!$C$5-Setup!$C$7)-Setup!$C$4))+($F79*Setup!$C$8*MAX(0,Setup!$C$5-MAX((Setup!$C$5-Setup!$C$7),Setup!$C$4)))+($W79/4*MAX(0,Setup!$C$5+4-MAX(Setup!$C$5,Setup!$C$4)))),MAX(Setup!$C$5,Setup!$C$4)+($K79-($F79*MAX(0,(Setup!$C$5-Setup!$C$7)-Setup!$C$4))-($F79*Setup!$C$8*MAX(0,Setup!$C$5-MAX((Setup!$C$5-Setup!$C$7),Setup!$C$4))))/($W79/4),MAX(Setup!$C$5+4,Setup!$C$4)+($K79-($F79*MAX(0,(Setup!$C$5-Setup!$C$7)-Setup!$C$4))-($F79*Setup!$C$8*MAX(0,Setup!$C$5-MAX((Setup!$C$5-Setup!$C$7),Setup!$C$4)))-($W79/4*MAX(0,Setup!$C$5+4-MAX(Setup!$C$5,Setup!$C$4))))/($F79*Setup!$C$14)))))))</f>
        <v/>
      </c>
      <c r="AI79" s="79" t="str">
        <f>IF($R79&lt;&gt;"OK","",IF(AND($L79&lt;&gt;"",$L79&gt;0,ISNUMBER($AH79),$M79&gt;$AH79),"Runs out before the incoming delivery arrives",IF($AB79=0,"OK",IF($K79+IF(AND($L79&lt;&gt;"",$L79&gt;0),IF($M79&lt;=$AG79,$L79,0),0)&lt;($F79*MAX(0,MIN($AG79,(Setup!$C$5-Setup!$C$7))-Setup!$C$4)+$F79*Setup!$C$8*MAX(0,MIN($AG79,Setup!$C$5)-MAX((Setup!$C$5-Setup!$C$7),Setup!$C$4))+$W79/4*MAX(0,MIN($AG79,Setup!$C$5+4)-MAX(Setup!$C$5,Setup!$C$4))+$F79*Setup!$C$14*MAX(0,$AG79-MAX(Setup!$C$5+4,Setup!$C$4))),"Runs out before this order can land","OK"))))</f>
        <v/>
      </c>
      <c r="AJ79" s="78" t="str">
        <f>IF($R79&lt;&gt;"OK","",IF($AB79=0,0,IF($AL79="Too slow: send it all fast",$AB79,$AR79)))</f>
        <v/>
      </c>
      <c r="AK79" s="78" t="str">
        <f>IF($R79&lt;&gt;"OK","",$AB79-$AJ79)</f>
        <v/>
      </c>
      <c r="AL79" s="78" t="str">
        <f>IF($R79&lt;&gt;"OK","",IF($AB79=0,"",IF($AB79-$AR79=0,"Nothing left over",IF($O79="Domestic",IF($AG79&lt;=Setup!$C$6+Setup!$C$20+1,"Later units can go by Domestic","Too slow: send it all fast"),IF($AS79+$N79+Setup!$C$25+Setup!$C$11&lt;=Setup!$C$6+Setup!$C$20+1,"Later units can go by Ocean long",IF($AS79+$N79+Setup!$C$26+Setup!$C$11&lt;=Setup!$C$6+Setup!$C$20+1,"Later units can go by Ocean short",IF($AS79+$N79+Setup!$C$27+Setup!$C$11&lt;=Setup!$C$6+Setup!$C$20+1,"Later units can go by Air",IF($AS79+$N79+Setup!$C$28+Setup!$C$11&lt;=Setup!$C$6+Setup!$C$20+1,"Later units can go by Express","Too slow: send it all fast"))))))))</f>
        <v/>
      </c>
      <c r="AM79" s="94" t="str">
        <f>IF($R79&lt;&gt;"OK","",$E79-$D79)</f>
        <v/>
      </c>
      <c r="AN79" s="95" t="str">
        <f>IF($R79&lt;&gt;"OK","",($E79-$D79)/$D79)</f>
        <v/>
      </c>
      <c r="AO79" s="95" t="str">
        <f>IF($R79&lt;&gt;"OK","",IF($AB79&gt;0,$AN79+IF($C79="Evergreen",1000,0),""))</f>
        <v/>
      </c>
      <c r="AP79" s="78" t="str">
        <f>IF(OR($R79&lt;&gt;"OK",$AO79=""),"",COUNTIF($AO$6:$AO$205,"&gt;"&amp;$AO79)+COUNTIF($AO$6:$AO79,$AO79))</f>
        <v/>
      </c>
      <c r="AQ79" s="78" t="str">
        <f>IF(OR($R79&lt;&gt;"OK",$AP79=""),"",INDEX('Buy list'!$G$5:$G$204,$AP79))</f>
        <v/>
      </c>
      <c r="AR79" s="78" t="str">
        <f>IF($R79&lt;&gt;"OK","",IF($AB79=0,0,MIN($AB79,CEILING(MAX(0,($F79*MAX(0,MIN((Setup!$C$6+1+Setup!$C$20),(Setup!$C$5-Setup!$C$7))-Setup!$C$4)+$F79*Setup!$C$8*MAX(0,MIN((Setup!$C$6+1+Setup!$C$20),Setup!$C$5)-MAX((Setup!$C$5-Setup!$C$7),Setup!$C$4))+$W79/4*MAX(0,MIN((Setup!$C$6+1+Setup!$C$20),Setup!$C$5+4)-MAX(Setup!$C$5,Setup!$C$4))+$F79*Setup!$C$14*MAX(0,(Setup!$C$6+1+Setup!$C$20)-MAX(Setup!$C$5+4,Setup!$C$4)))+$Y79-$K79-IF(AND($L79&lt;&gt;"",$L79&gt;0),IF($M79&lt;=Setup!$C$10,$L79,0),0)),IF(OR($P79="",$P79&lt;=0),1,$P79)))))</f>
        <v/>
      </c>
      <c r="AS79" s="96" t="str">
        <f>IF($R79&lt;&gt;"OK","",IF(AND($O79&lt;&gt;"Domestic",ISNUMBER(Setup!$C$22),Setup!$C$22&gt;Setup!$C$4),Setup!$C$22,Setup!$C$4))</f>
        <v/>
      </c>
      <c r="AT79" s="96" t="str">
        <f>IF($R79&lt;&gt;"OK","",IF($AB79=0,"",IF($O79="Domestic",$AG79,$AS79+$N79+Setup!$C$27+Setup!$C$11)))</f>
        <v/>
      </c>
    </row>
    <row r="80" ht="15" customHeight="1" s="46">
      <c r="A80" s="70" t="n"/>
      <c r="B80" s="70" t="n"/>
      <c r="C80" s="70" t="n"/>
      <c r="D80" s="85" t="n"/>
      <c r="E80" s="85" t="n"/>
      <c r="F80" s="86" t="n"/>
      <c r="G80" s="87" t="n"/>
      <c r="H80" s="88" t="n"/>
      <c r="I80" s="89" t="n"/>
      <c r="J80" s="90" t="n"/>
      <c r="K80" s="87" t="n"/>
      <c r="L80" s="87" t="n"/>
      <c r="M80" s="91" t="n"/>
      <c r="N80" s="92" t="n"/>
      <c r="O80" s="70" t="n"/>
      <c r="P80" s="92" t="n"/>
      <c r="Q80" s="87" t="n"/>
      <c r="R80" s="79" t="str">
        <f>IF($A80="","",IF($C80="","Missing: type",IF(OR($D80="",$D80&lt;=0),"Missing: unit cost",IF($E80="","Missing: unit price",IF($F80="","Missing: daily sales",IF($K80="","Missing: on hand",IF($N80="","Missing: production days",IF($O80="","Missing: freight mode",IF(ISNA(MATCH($O80,Setup!$B$25:$B$29,0)),"Unknown freight mode",IF(AND($L80&lt;&gt;"",$L80&gt;0,$M80=""),"Missing: on-order arrival date","OK"))))))))))</f>
        <v/>
      </c>
      <c r="S80" s="78" t="str">
        <f>IF($R80&lt;&gt;"OK","",IF($G80="","",ROUND($G80/IF(OR($H80="",$H80&lt;=0),4,$H80)*4,0)))</f>
        <v/>
      </c>
      <c r="T80" s="78" t="str">
        <f>IF($R80&lt;&gt;"OK","",ROUND(IF($G80="",$F80*4*Setup!$C$19,$G80/IF(OR($H80="",$H80&lt;=0),4,$H80)*4*(1+IF($I80="",Setup!$C$16,$I80)))*IF($J80="",1,$J80),0))</f>
        <v/>
      </c>
      <c r="U80" s="78" t="str">
        <f>IF($R80&lt;&gt;"OK","",ROUND($T80*Setup!$C$17,0))</f>
        <v/>
      </c>
      <c r="V80" s="78" t="str">
        <f>IF($R80&lt;&gt;"OK","",ROUND($T80*Setup!$C$18,0))</f>
        <v/>
      </c>
      <c r="W80" s="78" t="str">
        <f>IF($R80&lt;&gt;"OK","",IF($C80="Evergreen",$V80,IF($C80="Seasonal or new",$U80,$T80)))</f>
        <v/>
      </c>
      <c r="X80" s="78" t="str">
        <f>IF($R80&lt;&gt;"OK","",ROUND(($F80*MAX(0,MIN(Setup!$C$13+1,(Setup!$C$5-Setup!$C$7))-Setup!$C$4)+$F80*Setup!$C$8*MAX(0,MIN(Setup!$C$13+1,Setup!$C$5)-MAX((Setup!$C$5-Setup!$C$7),Setup!$C$4))+$W80/4*MAX(0,MIN(Setup!$C$13+1,Setup!$C$5+4)-MAX(Setup!$C$5,Setup!$C$4))+$F80*Setup!$C$14*MAX(0,Setup!$C$13+1-MAX(Setup!$C$5+4,Setup!$C$4))),0))</f>
        <v/>
      </c>
      <c r="Y80" s="78" t="str">
        <f>IF($R80&lt;&gt;"OK","",ROUND($F80*Setup!$C$15,0))</f>
        <v/>
      </c>
      <c r="Z80" s="78" t="str">
        <f>IF($R80&lt;&gt;"OK","",IF(AND($L80&lt;&gt;"",$L80&gt;0),IF($M80&lt;=Setup!$C$13,$L80,0),0))</f>
        <v/>
      </c>
      <c r="AA80" s="78" t="str">
        <f>IF($R80&lt;&gt;"OK","",MAX(0,$X80+$Y80-$K80-$Z80))</f>
        <v/>
      </c>
      <c r="AB80" s="78" t="str">
        <f>IF($R80&lt;&gt;"OK","",IF($AA80=0,0,CEILING(MAX($AA80,IF($Q80="",0,$Q80)),IF(OR($P80="",$P80&lt;=0),1,$P80))))</f>
        <v/>
      </c>
      <c r="AC80" s="78" t="str">
        <f>IF($R80&lt;&gt;"OK","",$AB80*$D80)</f>
        <v/>
      </c>
      <c r="AD80" s="93" t="str">
        <f>IF($R80&lt;&gt;"OK","",INDEX(Setup!$D$25:$D$29,MATCH($O80,Setup!$B$25:$B$29,0)))</f>
        <v/>
      </c>
      <c r="AE80" s="93" t="str">
        <f>IF($R80&lt;&gt;"OK","",$AD80-$N80)</f>
        <v/>
      </c>
      <c r="AF80" s="79" t="str">
        <f>IF($R80&lt;&gt;"OK","",IF($AB80=0,"No order needed",IF($AE80&gt;=$AS80,"Order by the deadline",IF(AND($O80&lt;&gt;"Domestic",Setup!$D$27-$N80&gt;=$AS80),"Late by this mode: fly it",IF(Setup!$D$28-$N80&gt;=$AS80,"Late: Express courier only",IF($AG80&lt;Setup!$C$5,"Tight: lands before Black Friday",IF(AND($O80&lt;&gt;"Domestic",$AT80&lt;Setup!$C$5),"Tight: by Air lands before Black Friday",IF($AS80+$N80+Setup!$C$28+Setup!$C$11&lt;Setup!$C$5,"Tight: by Express lands before Black Friday","Too late: ration"))))))))</f>
        <v/>
      </c>
      <c r="AG80" s="93" t="str">
        <f>IF($R80&lt;&gt;"OK","",IF($AB80=0,"",$AS80+$N80+INDEX(Setup!$C$25:$C$29,MATCH($O80,Setup!$B$25:$B$29,0))+Setup!$C$11))</f>
        <v/>
      </c>
      <c r="AH80" s="93" t="str">
        <f>IF($R80&lt;&gt;"OK","",IF($F80&lt;=0,"",INT(IF($K80&lt;($F80*MAX(0,(Setup!$C$5-Setup!$C$7)-Setup!$C$4)),Setup!$C$4+$K80/$F80,IF($K80&lt;($F80*MAX(0,(Setup!$C$5-Setup!$C$7)-Setup!$C$4))+($F80*Setup!$C$8*MAX(0,Setup!$C$5-MAX((Setup!$C$5-Setup!$C$7),Setup!$C$4))),MAX((Setup!$C$5-Setup!$C$7),Setup!$C$4)+($K80-($F80*MAX(0,(Setup!$C$5-Setup!$C$7)-Setup!$C$4)))/($F80*Setup!$C$8),IF(AND($W80&gt;0,$K80&lt;($F80*MAX(0,(Setup!$C$5-Setup!$C$7)-Setup!$C$4))+($F80*Setup!$C$8*MAX(0,Setup!$C$5-MAX((Setup!$C$5-Setup!$C$7),Setup!$C$4)))+($W80/4*MAX(0,Setup!$C$5+4-MAX(Setup!$C$5,Setup!$C$4)))),MAX(Setup!$C$5,Setup!$C$4)+($K80-($F80*MAX(0,(Setup!$C$5-Setup!$C$7)-Setup!$C$4))-($F80*Setup!$C$8*MAX(0,Setup!$C$5-MAX((Setup!$C$5-Setup!$C$7),Setup!$C$4))))/($W80/4),MAX(Setup!$C$5+4,Setup!$C$4)+($K80-($F80*MAX(0,(Setup!$C$5-Setup!$C$7)-Setup!$C$4))-($F80*Setup!$C$8*MAX(0,Setup!$C$5-MAX((Setup!$C$5-Setup!$C$7),Setup!$C$4)))-($W80/4*MAX(0,Setup!$C$5+4-MAX(Setup!$C$5,Setup!$C$4))))/($F80*Setup!$C$14)))))))</f>
        <v/>
      </c>
      <c r="AI80" s="79" t="str">
        <f>IF($R80&lt;&gt;"OK","",IF(AND($L80&lt;&gt;"",$L80&gt;0,ISNUMBER($AH80),$M80&gt;$AH80),"Runs out before the incoming delivery arrives",IF($AB80=0,"OK",IF($K80+IF(AND($L80&lt;&gt;"",$L80&gt;0),IF($M80&lt;=$AG80,$L80,0),0)&lt;($F80*MAX(0,MIN($AG80,(Setup!$C$5-Setup!$C$7))-Setup!$C$4)+$F80*Setup!$C$8*MAX(0,MIN($AG80,Setup!$C$5)-MAX((Setup!$C$5-Setup!$C$7),Setup!$C$4))+$W80/4*MAX(0,MIN($AG80,Setup!$C$5+4)-MAX(Setup!$C$5,Setup!$C$4))+$F80*Setup!$C$14*MAX(0,$AG80-MAX(Setup!$C$5+4,Setup!$C$4))),"Runs out before this order can land","OK"))))</f>
        <v/>
      </c>
      <c r="AJ80" s="78" t="str">
        <f>IF($R80&lt;&gt;"OK","",IF($AB80=0,0,IF($AL80="Too slow: send it all fast",$AB80,$AR80)))</f>
        <v/>
      </c>
      <c r="AK80" s="78" t="str">
        <f>IF($R80&lt;&gt;"OK","",$AB80-$AJ80)</f>
        <v/>
      </c>
      <c r="AL80" s="78" t="str">
        <f>IF($R80&lt;&gt;"OK","",IF($AB80=0,"",IF($AB80-$AR80=0,"Nothing left over",IF($O80="Domestic",IF($AG80&lt;=Setup!$C$6+Setup!$C$20+1,"Later units can go by Domestic","Too slow: send it all fast"),IF($AS80+$N80+Setup!$C$25+Setup!$C$11&lt;=Setup!$C$6+Setup!$C$20+1,"Later units can go by Ocean long",IF($AS80+$N80+Setup!$C$26+Setup!$C$11&lt;=Setup!$C$6+Setup!$C$20+1,"Later units can go by Ocean short",IF($AS80+$N80+Setup!$C$27+Setup!$C$11&lt;=Setup!$C$6+Setup!$C$20+1,"Later units can go by Air",IF($AS80+$N80+Setup!$C$28+Setup!$C$11&lt;=Setup!$C$6+Setup!$C$20+1,"Later units can go by Express","Too slow: send it all fast"))))))))</f>
        <v/>
      </c>
      <c r="AM80" s="94" t="str">
        <f>IF($R80&lt;&gt;"OK","",$E80-$D80)</f>
        <v/>
      </c>
      <c r="AN80" s="95" t="str">
        <f>IF($R80&lt;&gt;"OK","",($E80-$D80)/$D80)</f>
        <v/>
      </c>
      <c r="AO80" s="95" t="str">
        <f>IF($R80&lt;&gt;"OK","",IF($AB80&gt;0,$AN80+IF($C80="Evergreen",1000,0),""))</f>
        <v/>
      </c>
      <c r="AP80" s="78" t="str">
        <f>IF(OR($R80&lt;&gt;"OK",$AO80=""),"",COUNTIF($AO$6:$AO$205,"&gt;"&amp;$AO80)+COUNTIF($AO$6:$AO80,$AO80))</f>
        <v/>
      </c>
      <c r="AQ80" s="78" t="str">
        <f>IF(OR($R80&lt;&gt;"OK",$AP80=""),"",INDEX('Buy list'!$G$5:$G$204,$AP80))</f>
        <v/>
      </c>
      <c r="AR80" s="78" t="str">
        <f>IF($R80&lt;&gt;"OK","",IF($AB80=0,0,MIN($AB80,CEILING(MAX(0,($F80*MAX(0,MIN((Setup!$C$6+1+Setup!$C$20),(Setup!$C$5-Setup!$C$7))-Setup!$C$4)+$F80*Setup!$C$8*MAX(0,MIN((Setup!$C$6+1+Setup!$C$20),Setup!$C$5)-MAX((Setup!$C$5-Setup!$C$7),Setup!$C$4))+$W80/4*MAX(0,MIN((Setup!$C$6+1+Setup!$C$20),Setup!$C$5+4)-MAX(Setup!$C$5,Setup!$C$4))+$F80*Setup!$C$14*MAX(0,(Setup!$C$6+1+Setup!$C$20)-MAX(Setup!$C$5+4,Setup!$C$4)))+$Y80-$K80-IF(AND($L80&lt;&gt;"",$L80&gt;0),IF($M80&lt;=Setup!$C$10,$L80,0),0)),IF(OR($P80="",$P80&lt;=0),1,$P80)))))</f>
        <v/>
      </c>
      <c r="AS80" s="96" t="str">
        <f>IF($R80&lt;&gt;"OK","",IF(AND($O80&lt;&gt;"Domestic",ISNUMBER(Setup!$C$22),Setup!$C$22&gt;Setup!$C$4),Setup!$C$22,Setup!$C$4))</f>
        <v/>
      </c>
      <c r="AT80" s="96" t="str">
        <f>IF($R80&lt;&gt;"OK","",IF($AB80=0,"",IF($O80="Domestic",$AG80,$AS80+$N80+Setup!$C$27+Setup!$C$11)))</f>
        <v/>
      </c>
    </row>
    <row r="81" ht="15" customHeight="1" s="46">
      <c r="A81" s="70" t="n"/>
      <c r="B81" s="70" t="n"/>
      <c r="C81" s="70" t="n"/>
      <c r="D81" s="85" t="n"/>
      <c r="E81" s="85" t="n"/>
      <c r="F81" s="86" t="n"/>
      <c r="G81" s="87" t="n"/>
      <c r="H81" s="88" t="n"/>
      <c r="I81" s="89" t="n"/>
      <c r="J81" s="90" t="n"/>
      <c r="K81" s="87" t="n"/>
      <c r="L81" s="87" t="n"/>
      <c r="M81" s="91" t="n"/>
      <c r="N81" s="92" t="n"/>
      <c r="O81" s="70" t="n"/>
      <c r="P81" s="92" t="n"/>
      <c r="Q81" s="87" t="n"/>
      <c r="R81" s="79" t="str">
        <f>IF($A81="","",IF($C81="","Missing: type",IF(OR($D81="",$D81&lt;=0),"Missing: unit cost",IF($E81="","Missing: unit price",IF($F81="","Missing: daily sales",IF($K81="","Missing: on hand",IF($N81="","Missing: production days",IF($O81="","Missing: freight mode",IF(ISNA(MATCH($O81,Setup!$B$25:$B$29,0)),"Unknown freight mode",IF(AND($L81&lt;&gt;"",$L81&gt;0,$M81=""),"Missing: on-order arrival date","OK"))))))))))</f>
        <v/>
      </c>
      <c r="S81" s="78" t="str">
        <f>IF($R81&lt;&gt;"OK","",IF($G81="","",ROUND($G81/IF(OR($H81="",$H81&lt;=0),4,$H81)*4,0)))</f>
        <v/>
      </c>
      <c r="T81" s="78" t="str">
        <f>IF($R81&lt;&gt;"OK","",ROUND(IF($G81="",$F81*4*Setup!$C$19,$G81/IF(OR($H81="",$H81&lt;=0),4,$H81)*4*(1+IF($I81="",Setup!$C$16,$I81)))*IF($J81="",1,$J81),0))</f>
        <v/>
      </c>
      <c r="U81" s="78" t="str">
        <f>IF($R81&lt;&gt;"OK","",ROUND($T81*Setup!$C$17,0))</f>
        <v/>
      </c>
      <c r="V81" s="78" t="str">
        <f>IF($R81&lt;&gt;"OK","",ROUND($T81*Setup!$C$18,0))</f>
        <v/>
      </c>
      <c r="W81" s="78" t="str">
        <f>IF($R81&lt;&gt;"OK","",IF($C81="Evergreen",$V81,IF($C81="Seasonal or new",$U81,$T81)))</f>
        <v/>
      </c>
      <c r="X81" s="78" t="str">
        <f>IF($R81&lt;&gt;"OK","",ROUND(($F81*MAX(0,MIN(Setup!$C$13+1,(Setup!$C$5-Setup!$C$7))-Setup!$C$4)+$F81*Setup!$C$8*MAX(0,MIN(Setup!$C$13+1,Setup!$C$5)-MAX((Setup!$C$5-Setup!$C$7),Setup!$C$4))+$W81/4*MAX(0,MIN(Setup!$C$13+1,Setup!$C$5+4)-MAX(Setup!$C$5,Setup!$C$4))+$F81*Setup!$C$14*MAX(0,Setup!$C$13+1-MAX(Setup!$C$5+4,Setup!$C$4))),0))</f>
        <v/>
      </c>
      <c r="Y81" s="78" t="str">
        <f>IF($R81&lt;&gt;"OK","",ROUND($F81*Setup!$C$15,0))</f>
        <v/>
      </c>
      <c r="Z81" s="78" t="str">
        <f>IF($R81&lt;&gt;"OK","",IF(AND($L81&lt;&gt;"",$L81&gt;0),IF($M81&lt;=Setup!$C$13,$L81,0),0))</f>
        <v/>
      </c>
      <c r="AA81" s="78" t="str">
        <f>IF($R81&lt;&gt;"OK","",MAX(0,$X81+$Y81-$K81-$Z81))</f>
        <v/>
      </c>
      <c r="AB81" s="78" t="str">
        <f>IF($R81&lt;&gt;"OK","",IF($AA81=0,0,CEILING(MAX($AA81,IF($Q81="",0,$Q81)),IF(OR($P81="",$P81&lt;=0),1,$P81))))</f>
        <v/>
      </c>
      <c r="AC81" s="78" t="str">
        <f>IF($R81&lt;&gt;"OK","",$AB81*$D81)</f>
        <v/>
      </c>
      <c r="AD81" s="93" t="str">
        <f>IF($R81&lt;&gt;"OK","",INDEX(Setup!$D$25:$D$29,MATCH($O81,Setup!$B$25:$B$29,0)))</f>
        <v/>
      </c>
      <c r="AE81" s="93" t="str">
        <f>IF($R81&lt;&gt;"OK","",$AD81-$N81)</f>
        <v/>
      </c>
      <c r="AF81" s="79" t="str">
        <f>IF($R81&lt;&gt;"OK","",IF($AB81=0,"No order needed",IF($AE81&gt;=$AS81,"Order by the deadline",IF(AND($O81&lt;&gt;"Domestic",Setup!$D$27-$N81&gt;=$AS81),"Late by this mode: fly it",IF(Setup!$D$28-$N81&gt;=$AS81,"Late: Express courier only",IF($AG81&lt;Setup!$C$5,"Tight: lands before Black Friday",IF(AND($O81&lt;&gt;"Domestic",$AT81&lt;Setup!$C$5),"Tight: by Air lands before Black Friday",IF($AS81+$N81+Setup!$C$28+Setup!$C$11&lt;Setup!$C$5,"Tight: by Express lands before Black Friday","Too late: ration"))))))))</f>
        <v/>
      </c>
      <c r="AG81" s="93" t="str">
        <f>IF($R81&lt;&gt;"OK","",IF($AB81=0,"",$AS81+$N81+INDEX(Setup!$C$25:$C$29,MATCH($O81,Setup!$B$25:$B$29,0))+Setup!$C$11))</f>
        <v/>
      </c>
      <c r="AH81" s="93" t="str">
        <f>IF($R81&lt;&gt;"OK","",IF($F81&lt;=0,"",INT(IF($K81&lt;($F81*MAX(0,(Setup!$C$5-Setup!$C$7)-Setup!$C$4)),Setup!$C$4+$K81/$F81,IF($K81&lt;($F81*MAX(0,(Setup!$C$5-Setup!$C$7)-Setup!$C$4))+($F81*Setup!$C$8*MAX(0,Setup!$C$5-MAX((Setup!$C$5-Setup!$C$7),Setup!$C$4))),MAX((Setup!$C$5-Setup!$C$7),Setup!$C$4)+($K81-($F81*MAX(0,(Setup!$C$5-Setup!$C$7)-Setup!$C$4)))/($F81*Setup!$C$8),IF(AND($W81&gt;0,$K81&lt;($F81*MAX(0,(Setup!$C$5-Setup!$C$7)-Setup!$C$4))+($F81*Setup!$C$8*MAX(0,Setup!$C$5-MAX((Setup!$C$5-Setup!$C$7),Setup!$C$4)))+($W81/4*MAX(0,Setup!$C$5+4-MAX(Setup!$C$5,Setup!$C$4)))),MAX(Setup!$C$5,Setup!$C$4)+($K81-($F81*MAX(0,(Setup!$C$5-Setup!$C$7)-Setup!$C$4))-($F81*Setup!$C$8*MAX(0,Setup!$C$5-MAX((Setup!$C$5-Setup!$C$7),Setup!$C$4))))/($W81/4),MAX(Setup!$C$5+4,Setup!$C$4)+($K81-($F81*MAX(0,(Setup!$C$5-Setup!$C$7)-Setup!$C$4))-($F81*Setup!$C$8*MAX(0,Setup!$C$5-MAX((Setup!$C$5-Setup!$C$7),Setup!$C$4)))-($W81/4*MAX(0,Setup!$C$5+4-MAX(Setup!$C$5,Setup!$C$4))))/($F81*Setup!$C$14)))))))</f>
        <v/>
      </c>
      <c r="AI81" s="79" t="str">
        <f>IF($R81&lt;&gt;"OK","",IF(AND($L81&lt;&gt;"",$L81&gt;0,ISNUMBER($AH81),$M81&gt;$AH81),"Runs out before the incoming delivery arrives",IF($AB81=0,"OK",IF($K81+IF(AND($L81&lt;&gt;"",$L81&gt;0),IF($M81&lt;=$AG81,$L81,0),0)&lt;($F81*MAX(0,MIN($AG81,(Setup!$C$5-Setup!$C$7))-Setup!$C$4)+$F81*Setup!$C$8*MAX(0,MIN($AG81,Setup!$C$5)-MAX((Setup!$C$5-Setup!$C$7),Setup!$C$4))+$W81/4*MAX(0,MIN($AG81,Setup!$C$5+4)-MAX(Setup!$C$5,Setup!$C$4))+$F81*Setup!$C$14*MAX(0,$AG81-MAX(Setup!$C$5+4,Setup!$C$4))),"Runs out before this order can land","OK"))))</f>
        <v/>
      </c>
      <c r="AJ81" s="78" t="str">
        <f>IF($R81&lt;&gt;"OK","",IF($AB81=0,0,IF($AL81="Too slow: send it all fast",$AB81,$AR81)))</f>
        <v/>
      </c>
      <c r="AK81" s="78" t="str">
        <f>IF($R81&lt;&gt;"OK","",$AB81-$AJ81)</f>
        <v/>
      </c>
      <c r="AL81" s="78" t="str">
        <f>IF($R81&lt;&gt;"OK","",IF($AB81=0,"",IF($AB81-$AR81=0,"Nothing left over",IF($O81="Domestic",IF($AG81&lt;=Setup!$C$6+Setup!$C$20+1,"Later units can go by Domestic","Too slow: send it all fast"),IF($AS81+$N81+Setup!$C$25+Setup!$C$11&lt;=Setup!$C$6+Setup!$C$20+1,"Later units can go by Ocean long",IF($AS81+$N81+Setup!$C$26+Setup!$C$11&lt;=Setup!$C$6+Setup!$C$20+1,"Later units can go by Ocean short",IF($AS81+$N81+Setup!$C$27+Setup!$C$11&lt;=Setup!$C$6+Setup!$C$20+1,"Later units can go by Air",IF($AS81+$N81+Setup!$C$28+Setup!$C$11&lt;=Setup!$C$6+Setup!$C$20+1,"Later units can go by Express","Too slow: send it all fast"))))))))</f>
        <v/>
      </c>
      <c r="AM81" s="94" t="str">
        <f>IF($R81&lt;&gt;"OK","",$E81-$D81)</f>
        <v/>
      </c>
      <c r="AN81" s="95" t="str">
        <f>IF($R81&lt;&gt;"OK","",($E81-$D81)/$D81)</f>
        <v/>
      </c>
      <c r="AO81" s="95" t="str">
        <f>IF($R81&lt;&gt;"OK","",IF($AB81&gt;0,$AN81+IF($C81="Evergreen",1000,0),""))</f>
        <v/>
      </c>
      <c r="AP81" s="78" t="str">
        <f>IF(OR($R81&lt;&gt;"OK",$AO81=""),"",COUNTIF($AO$6:$AO$205,"&gt;"&amp;$AO81)+COUNTIF($AO$6:$AO81,$AO81))</f>
        <v/>
      </c>
      <c r="AQ81" s="78" t="str">
        <f>IF(OR($R81&lt;&gt;"OK",$AP81=""),"",INDEX('Buy list'!$G$5:$G$204,$AP81))</f>
        <v/>
      </c>
      <c r="AR81" s="78" t="str">
        <f>IF($R81&lt;&gt;"OK","",IF($AB81=0,0,MIN($AB81,CEILING(MAX(0,($F81*MAX(0,MIN((Setup!$C$6+1+Setup!$C$20),(Setup!$C$5-Setup!$C$7))-Setup!$C$4)+$F81*Setup!$C$8*MAX(0,MIN((Setup!$C$6+1+Setup!$C$20),Setup!$C$5)-MAX((Setup!$C$5-Setup!$C$7),Setup!$C$4))+$W81/4*MAX(0,MIN((Setup!$C$6+1+Setup!$C$20),Setup!$C$5+4)-MAX(Setup!$C$5,Setup!$C$4))+$F81*Setup!$C$14*MAX(0,(Setup!$C$6+1+Setup!$C$20)-MAX(Setup!$C$5+4,Setup!$C$4)))+$Y81-$K81-IF(AND($L81&lt;&gt;"",$L81&gt;0),IF($M81&lt;=Setup!$C$10,$L81,0),0)),IF(OR($P81="",$P81&lt;=0),1,$P81)))))</f>
        <v/>
      </c>
      <c r="AS81" s="96" t="str">
        <f>IF($R81&lt;&gt;"OK","",IF(AND($O81&lt;&gt;"Domestic",ISNUMBER(Setup!$C$22),Setup!$C$22&gt;Setup!$C$4),Setup!$C$22,Setup!$C$4))</f>
        <v/>
      </c>
      <c r="AT81" s="96" t="str">
        <f>IF($R81&lt;&gt;"OK","",IF($AB81=0,"",IF($O81="Domestic",$AG81,$AS81+$N81+Setup!$C$27+Setup!$C$11)))</f>
        <v/>
      </c>
    </row>
    <row r="82" ht="15" customHeight="1" s="46">
      <c r="A82" s="70" t="n"/>
      <c r="B82" s="70" t="n"/>
      <c r="C82" s="70" t="n"/>
      <c r="D82" s="85" t="n"/>
      <c r="E82" s="85" t="n"/>
      <c r="F82" s="86" t="n"/>
      <c r="G82" s="87" t="n"/>
      <c r="H82" s="88" t="n"/>
      <c r="I82" s="89" t="n"/>
      <c r="J82" s="90" t="n"/>
      <c r="K82" s="87" t="n"/>
      <c r="L82" s="87" t="n"/>
      <c r="M82" s="91" t="n"/>
      <c r="N82" s="92" t="n"/>
      <c r="O82" s="70" t="n"/>
      <c r="P82" s="92" t="n"/>
      <c r="Q82" s="87" t="n"/>
      <c r="R82" s="79" t="str">
        <f>IF($A82="","",IF($C82="","Missing: type",IF(OR($D82="",$D82&lt;=0),"Missing: unit cost",IF($E82="","Missing: unit price",IF($F82="","Missing: daily sales",IF($K82="","Missing: on hand",IF($N82="","Missing: production days",IF($O82="","Missing: freight mode",IF(ISNA(MATCH($O82,Setup!$B$25:$B$29,0)),"Unknown freight mode",IF(AND($L82&lt;&gt;"",$L82&gt;0,$M82=""),"Missing: on-order arrival date","OK"))))))))))</f>
        <v/>
      </c>
      <c r="S82" s="78" t="str">
        <f>IF($R82&lt;&gt;"OK","",IF($G82="","",ROUND($G82/IF(OR($H82="",$H82&lt;=0),4,$H82)*4,0)))</f>
        <v/>
      </c>
      <c r="T82" s="78" t="str">
        <f>IF($R82&lt;&gt;"OK","",ROUND(IF($G82="",$F82*4*Setup!$C$19,$G82/IF(OR($H82="",$H82&lt;=0),4,$H82)*4*(1+IF($I82="",Setup!$C$16,$I82)))*IF($J82="",1,$J82),0))</f>
        <v/>
      </c>
      <c r="U82" s="78" t="str">
        <f>IF($R82&lt;&gt;"OK","",ROUND($T82*Setup!$C$17,0))</f>
        <v/>
      </c>
      <c r="V82" s="78" t="str">
        <f>IF($R82&lt;&gt;"OK","",ROUND($T82*Setup!$C$18,0))</f>
        <v/>
      </c>
      <c r="W82" s="78" t="str">
        <f>IF($R82&lt;&gt;"OK","",IF($C82="Evergreen",$V82,IF($C82="Seasonal or new",$U82,$T82)))</f>
        <v/>
      </c>
      <c r="X82" s="78" t="str">
        <f>IF($R82&lt;&gt;"OK","",ROUND(($F82*MAX(0,MIN(Setup!$C$13+1,(Setup!$C$5-Setup!$C$7))-Setup!$C$4)+$F82*Setup!$C$8*MAX(0,MIN(Setup!$C$13+1,Setup!$C$5)-MAX((Setup!$C$5-Setup!$C$7),Setup!$C$4))+$W82/4*MAX(0,MIN(Setup!$C$13+1,Setup!$C$5+4)-MAX(Setup!$C$5,Setup!$C$4))+$F82*Setup!$C$14*MAX(0,Setup!$C$13+1-MAX(Setup!$C$5+4,Setup!$C$4))),0))</f>
        <v/>
      </c>
      <c r="Y82" s="78" t="str">
        <f>IF($R82&lt;&gt;"OK","",ROUND($F82*Setup!$C$15,0))</f>
        <v/>
      </c>
      <c r="Z82" s="78" t="str">
        <f>IF($R82&lt;&gt;"OK","",IF(AND($L82&lt;&gt;"",$L82&gt;0),IF($M82&lt;=Setup!$C$13,$L82,0),0))</f>
        <v/>
      </c>
      <c r="AA82" s="78" t="str">
        <f>IF($R82&lt;&gt;"OK","",MAX(0,$X82+$Y82-$K82-$Z82))</f>
        <v/>
      </c>
      <c r="AB82" s="78" t="str">
        <f>IF($R82&lt;&gt;"OK","",IF($AA82=0,0,CEILING(MAX($AA82,IF($Q82="",0,$Q82)),IF(OR($P82="",$P82&lt;=0),1,$P82))))</f>
        <v/>
      </c>
      <c r="AC82" s="78" t="str">
        <f>IF($R82&lt;&gt;"OK","",$AB82*$D82)</f>
        <v/>
      </c>
      <c r="AD82" s="93" t="str">
        <f>IF($R82&lt;&gt;"OK","",INDEX(Setup!$D$25:$D$29,MATCH($O82,Setup!$B$25:$B$29,0)))</f>
        <v/>
      </c>
      <c r="AE82" s="93" t="str">
        <f>IF($R82&lt;&gt;"OK","",$AD82-$N82)</f>
        <v/>
      </c>
      <c r="AF82" s="79" t="str">
        <f>IF($R82&lt;&gt;"OK","",IF($AB82=0,"No order needed",IF($AE82&gt;=$AS82,"Order by the deadline",IF(AND($O82&lt;&gt;"Domestic",Setup!$D$27-$N82&gt;=$AS82),"Late by this mode: fly it",IF(Setup!$D$28-$N82&gt;=$AS82,"Late: Express courier only",IF($AG82&lt;Setup!$C$5,"Tight: lands before Black Friday",IF(AND($O82&lt;&gt;"Domestic",$AT82&lt;Setup!$C$5),"Tight: by Air lands before Black Friday",IF($AS82+$N82+Setup!$C$28+Setup!$C$11&lt;Setup!$C$5,"Tight: by Express lands before Black Friday","Too late: ration"))))))))</f>
        <v/>
      </c>
      <c r="AG82" s="93" t="str">
        <f>IF($R82&lt;&gt;"OK","",IF($AB82=0,"",$AS82+$N82+INDEX(Setup!$C$25:$C$29,MATCH($O82,Setup!$B$25:$B$29,0))+Setup!$C$11))</f>
        <v/>
      </c>
      <c r="AH82" s="93" t="str">
        <f>IF($R82&lt;&gt;"OK","",IF($F82&lt;=0,"",INT(IF($K82&lt;($F82*MAX(0,(Setup!$C$5-Setup!$C$7)-Setup!$C$4)),Setup!$C$4+$K82/$F82,IF($K82&lt;($F82*MAX(0,(Setup!$C$5-Setup!$C$7)-Setup!$C$4))+($F82*Setup!$C$8*MAX(0,Setup!$C$5-MAX((Setup!$C$5-Setup!$C$7),Setup!$C$4))),MAX((Setup!$C$5-Setup!$C$7),Setup!$C$4)+($K82-($F82*MAX(0,(Setup!$C$5-Setup!$C$7)-Setup!$C$4)))/($F82*Setup!$C$8),IF(AND($W82&gt;0,$K82&lt;($F82*MAX(0,(Setup!$C$5-Setup!$C$7)-Setup!$C$4))+($F82*Setup!$C$8*MAX(0,Setup!$C$5-MAX((Setup!$C$5-Setup!$C$7),Setup!$C$4)))+($W82/4*MAX(0,Setup!$C$5+4-MAX(Setup!$C$5,Setup!$C$4)))),MAX(Setup!$C$5,Setup!$C$4)+($K82-($F82*MAX(0,(Setup!$C$5-Setup!$C$7)-Setup!$C$4))-($F82*Setup!$C$8*MAX(0,Setup!$C$5-MAX((Setup!$C$5-Setup!$C$7),Setup!$C$4))))/($W82/4),MAX(Setup!$C$5+4,Setup!$C$4)+($K82-($F82*MAX(0,(Setup!$C$5-Setup!$C$7)-Setup!$C$4))-($F82*Setup!$C$8*MAX(0,Setup!$C$5-MAX((Setup!$C$5-Setup!$C$7),Setup!$C$4)))-($W82/4*MAX(0,Setup!$C$5+4-MAX(Setup!$C$5,Setup!$C$4))))/($F82*Setup!$C$14)))))))</f>
        <v/>
      </c>
      <c r="AI82" s="79" t="str">
        <f>IF($R82&lt;&gt;"OK","",IF(AND($L82&lt;&gt;"",$L82&gt;0,ISNUMBER($AH82),$M82&gt;$AH82),"Runs out before the incoming delivery arrives",IF($AB82=0,"OK",IF($K82+IF(AND($L82&lt;&gt;"",$L82&gt;0),IF($M82&lt;=$AG82,$L82,0),0)&lt;($F82*MAX(0,MIN($AG82,(Setup!$C$5-Setup!$C$7))-Setup!$C$4)+$F82*Setup!$C$8*MAX(0,MIN($AG82,Setup!$C$5)-MAX((Setup!$C$5-Setup!$C$7),Setup!$C$4))+$W82/4*MAX(0,MIN($AG82,Setup!$C$5+4)-MAX(Setup!$C$5,Setup!$C$4))+$F82*Setup!$C$14*MAX(0,$AG82-MAX(Setup!$C$5+4,Setup!$C$4))),"Runs out before this order can land","OK"))))</f>
        <v/>
      </c>
      <c r="AJ82" s="78" t="str">
        <f>IF($R82&lt;&gt;"OK","",IF($AB82=0,0,IF($AL82="Too slow: send it all fast",$AB82,$AR82)))</f>
        <v/>
      </c>
      <c r="AK82" s="78" t="str">
        <f>IF($R82&lt;&gt;"OK","",$AB82-$AJ82)</f>
        <v/>
      </c>
      <c r="AL82" s="78" t="str">
        <f>IF($R82&lt;&gt;"OK","",IF($AB82=0,"",IF($AB82-$AR82=0,"Nothing left over",IF($O82="Domestic",IF($AG82&lt;=Setup!$C$6+Setup!$C$20+1,"Later units can go by Domestic","Too slow: send it all fast"),IF($AS82+$N82+Setup!$C$25+Setup!$C$11&lt;=Setup!$C$6+Setup!$C$20+1,"Later units can go by Ocean long",IF($AS82+$N82+Setup!$C$26+Setup!$C$11&lt;=Setup!$C$6+Setup!$C$20+1,"Later units can go by Ocean short",IF($AS82+$N82+Setup!$C$27+Setup!$C$11&lt;=Setup!$C$6+Setup!$C$20+1,"Later units can go by Air",IF($AS82+$N82+Setup!$C$28+Setup!$C$11&lt;=Setup!$C$6+Setup!$C$20+1,"Later units can go by Express","Too slow: send it all fast"))))))))</f>
        <v/>
      </c>
      <c r="AM82" s="94" t="str">
        <f>IF($R82&lt;&gt;"OK","",$E82-$D82)</f>
        <v/>
      </c>
      <c r="AN82" s="95" t="str">
        <f>IF($R82&lt;&gt;"OK","",($E82-$D82)/$D82)</f>
        <v/>
      </c>
      <c r="AO82" s="95" t="str">
        <f>IF($R82&lt;&gt;"OK","",IF($AB82&gt;0,$AN82+IF($C82="Evergreen",1000,0),""))</f>
        <v/>
      </c>
      <c r="AP82" s="78" t="str">
        <f>IF(OR($R82&lt;&gt;"OK",$AO82=""),"",COUNTIF($AO$6:$AO$205,"&gt;"&amp;$AO82)+COUNTIF($AO$6:$AO82,$AO82))</f>
        <v/>
      </c>
      <c r="AQ82" s="78" t="str">
        <f>IF(OR($R82&lt;&gt;"OK",$AP82=""),"",INDEX('Buy list'!$G$5:$G$204,$AP82))</f>
        <v/>
      </c>
      <c r="AR82" s="78" t="str">
        <f>IF($R82&lt;&gt;"OK","",IF($AB82=0,0,MIN($AB82,CEILING(MAX(0,($F82*MAX(0,MIN((Setup!$C$6+1+Setup!$C$20),(Setup!$C$5-Setup!$C$7))-Setup!$C$4)+$F82*Setup!$C$8*MAX(0,MIN((Setup!$C$6+1+Setup!$C$20),Setup!$C$5)-MAX((Setup!$C$5-Setup!$C$7),Setup!$C$4))+$W82/4*MAX(0,MIN((Setup!$C$6+1+Setup!$C$20),Setup!$C$5+4)-MAX(Setup!$C$5,Setup!$C$4))+$F82*Setup!$C$14*MAX(0,(Setup!$C$6+1+Setup!$C$20)-MAX(Setup!$C$5+4,Setup!$C$4)))+$Y82-$K82-IF(AND($L82&lt;&gt;"",$L82&gt;0),IF($M82&lt;=Setup!$C$10,$L82,0),0)),IF(OR($P82="",$P82&lt;=0),1,$P82)))))</f>
        <v/>
      </c>
      <c r="AS82" s="96" t="str">
        <f>IF($R82&lt;&gt;"OK","",IF(AND($O82&lt;&gt;"Domestic",ISNUMBER(Setup!$C$22),Setup!$C$22&gt;Setup!$C$4),Setup!$C$22,Setup!$C$4))</f>
        <v/>
      </c>
      <c r="AT82" s="96" t="str">
        <f>IF($R82&lt;&gt;"OK","",IF($AB82=0,"",IF($O82="Domestic",$AG82,$AS82+$N82+Setup!$C$27+Setup!$C$11)))</f>
        <v/>
      </c>
    </row>
    <row r="83" ht="15" customHeight="1" s="46">
      <c r="A83" s="70" t="n"/>
      <c r="B83" s="70" t="n"/>
      <c r="C83" s="70" t="n"/>
      <c r="D83" s="85" t="n"/>
      <c r="E83" s="85" t="n"/>
      <c r="F83" s="86" t="n"/>
      <c r="G83" s="87" t="n"/>
      <c r="H83" s="88" t="n"/>
      <c r="I83" s="89" t="n"/>
      <c r="J83" s="90" t="n"/>
      <c r="K83" s="87" t="n"/>
      <c r="L83" s="87" t="n"/>
      <c r="M83" s="91" t="n"/>
      <c r="N83" s="92" t="n"/>
      <c r="O83" s="70" t="n"/>
      <c r="P83" s="92" t="n"/>
      <c r="Q83" s="87" t="n"/>
      <c r="R83" s="79" t="str">
        <f>IF($A83="","",IF($C83="","Missing: type",IF(OR($D83="",$D83&lt;=0),"Missing: unit cost",IF($E83="","Missing: unit price",IF($F83="","Missing: daily sales",IF($K83="","Missing: on hand",IF($N83="","Missing: production days",IF($O83="","Missing: freight mode",IF(ISNA(MATCH($O83,Setup!$B$25:$B$29,0)),"Unknown freight mode",IF(AND($L83&lt;&gt;"",$L83&gt;0,$M83=""),"Missing: on-order arrival date","OK"))))))))))</f>
        <v/>
      </c>
      <c r="S83" s="78" t="str">
        <f>IF($R83&lt;&gt;"OK","",IF($G83="","",ROUND($G83/IF(OR($H83="",$H83&lt;=0),4,$H83)*4,0)))</f>
        <v/>
      </c>
      <c r="T83" s="78" t="str">
        <f>IF($R83&lt;&gt;"OK","",ROUND(IF($G83="",$F83*4*Setup!$C$19,$G83/IF(OR($H83="",$H83&lt;=0),4,$H83)*4*(1+IF($I83="",Setup!$C$16,$I83)))*IF($J83="",1,$J83),0))</f>
        <v/>
      </c>
      <c r="U83" s="78" t="str">
        <f>IF($R83&lt;&gt;"OK","",ROUND($T83*Setup!$C$17,0))</f>
        <v/>
      </c>
      <c r="V83" s="78" t="str">
        <f>IF($R83&lt;&gt;"OK","",ROUND($T83*Setup!$C$18,0))</f>
        <v/>
      </c>
      <c r="W83" s="78" t="str">
        <f>IF($R83&lt;&gt;"OK","",IF($C83="Evergreen",$V83,IF($C83="Seasonal or new",$U83,$T83)))</f>
        <v/>
      </c>
      <c r="X83" s="78" t="str">
        <f>IF($R83&lt;&gt;"OK","",ROUND(($F83*MAX(0,MIN(Setup!$C$13+1,(Setup!$C$5-Setup!$C$7))-Setup!$C$4)+$F83*Setup!$C$8*MAX(0,MIN(Setup!$C$13+1,Setup!$C$5)-MAX((Setup!$C$5-Setup!$C$7),Setup!$C$4))+$W83/4*MAX(0,MIN(Setup!$C$13+1,Setup!$C$5+4)-MAX(Setup!$C$5,Setup!$C$4))+$F83*Setup!$C$14*MAX(0,Setup!$C$13+1-MAX(Setup!$C$5+4,Setup!$C$4))),0))</f>
        <v/>
      </c>
      <c r="Y83" s="78" t="str">
        <f>IF($R83&lt;&gt;"OK","",ROUND($F83*Setup!$C$15,0))</f>
        <v/>
      </c>
      <c r="Z83" s="78" t="str">
        <f>IF($R83&lt;&gt;"OK","",IF(AND($L83&lt;&gt;"",$L83&gt;0),IF($M83&lt;=Setup!$C$13,$L83,0),0))</f>
        <v/>
      </c>
      <c r="AA83" s="78" t="str">
        <f>IF($R83&lt;&gt;"OK","",MAX(0,$X83+$Y83-$K83-$Z83))</f>
        <v/>
      </c>
      <c r="AB83" s="78" t="str">
        <f>IF($R83&lt;&gt;"OK","",IF($AA83=0,0,CEILING(MAX($AA83,IF($Q83="",0,$Q83)),IF(OR($P83="",$P83&lt;=0),1,$P83))))</f>
        <v/>
      </c>
      <c r="AC83" s="78" t="str">
        <f>IF($R83&lt;&gt;"OK","",$AB83*$D83)</f>
        <v/>
      </c>
      <c r="AD83" s="93" t="str">
        <f>IF($R83&lt;&gt;"OK","",INDEX(Setup!$D$25:$D$29,MATCH($O83,Setup!$B$25:$B$29,0)))</f>
        <v/>
      </c>
      <c r="AE83" s="93" t="str">
        <f>IF($R83&lt;&gt;"OK","",$AD83-$N83)</f>
        <v/>
      </c>
      <c r="AF83" s="79" t="str">
        <f>IF($R83&lt;&gt;"OK","",IF($AB83=0,"No order needed",IF($AE83&gt;=$AS83,"Order by the deadline",IF(AND($O83&lt;&gt;"Domestic",Setup!$D$27-$N83&gt;=$AS83),"Late by this mode: fly it",IF(Setup!$D$28-$N83&gt;=$AS83,"Late: Express courier only",IF($AG83&lt;Setup!$C$5,"Tight: lands before Black Friday",IF(AND($O83&lt;&gt;"Domestic",$AT83&lt;Setup!$C$5),"Tight: by Air lands before Black Friday",IF($AS83+$N83+Setup!$C$28+Setup!$C$11&lt;Setup!$C$5,"Tight: by Express lands before Black Friday","Too late: ration"))))))))</f>
        <v/>
      </c>
      <c r="AG83" s="93" t="str">
        <f>IF($R83&lt;&gt;"OK","",IF($AB83=0,"",$AS83+$N83+INDEX(Setup!$C$25:$C$29,MATCH($O83,Setup!$B$25:$B$29,0))+Setup!$C$11))</f>
        <v/>
      </c>
      <c r="AH83" s="93" t="str">
        <f>IF($R83&lt;&gt;"OK","",IF($F83&lt;=0,"",INT(IF($K83&lt;($F83*MAX(0,(Setup!$C$5-Setup!$C$7)-Setup!$C$4)),Setup!$C$4+$K83/$F83,IF($K83&lt;($F83*MAX(0,(Setup!$C$5-Setup!$C$7)-Setup!$C$4))+($F83*Setup!$C$8*MAX(0,Setup!$C$5-MAX((Setup!$C$5-Setup!$C$7),Setup!$C$4))),MAX((Setup!$C$5-Setup!$C$7),Setup!$C$4)+($K83-($F83*MAX(0,(Setup!$C$5-Setup!$C$7)-Setup!$C$4)))/($F83*Setup!$C$8),IF(AND($W83&gt;0,$K83&lt;($F83*MAX(0,(Setup!$C$5-Setup!$C$7)-Setup!$C$4))+($F83*Setup!$C$8*MAX(0,Setup!$C$5-MAX((Setup!$C$5-Setup!$C$7),Setup!$C$4)))+($W83/4*MAX(0,Setup!$C$5+4-MAX(Setup!$C$5,Setup!$C$4)))),MAX(Setup!$C$5,Setup!$C$4)+($K83-($F83*MAX(0,(Setup!$C$5-Setup!$C$7)-Setup!$C$4))-($F83*Setup!$C$8*MAX(0,Setup!$C$5-MAX((Setup!$C$5-Setup!$C$7),Setup!$C$4))))/($W83/4),MAX(Setup!$C$5+4,Setup!$C$4)+($K83-($F83*MAX(0,(Setup!$C$5-Setup!$C$7)-Setup!$C$4))-($F83*Setup!$C$8*MAX(0,Setup!$C$5-MAX((Setup!$C$5-Setup!$C$7),Setup!$C$4)))-($W83/4*MAX(0,Setup!$C$5+4-MAX(Setup!$C$5,Setup!$C$4))))/($F83*Setup!$C$14)))))))</f>
        <v/>
      </c>
      <c r="AI83" s="79" t="str">
        <f>IF($R83&lt;&gt;"OK","",IF(AND($L83&lt;&gt;"",$L83&gt;0,ISNUMBER($AH83),$M83&gt;$AH83),"Runs out before the incoming delivery arrives",IF($AB83=0,"OK",IF($K83+IF(AND($L83&lt;&gt;"",$L83&gt;0),IF($M83&lt;=$AG83,$L83,0),0)&lt;($F83*MAX(0,MIN($AG83,(Setup!$C$5-Setup!$C$7))-Setup!$C$4)+$F83*Setup!$C$8*MAX(0,MIN($AG83,Setup!$C$5)-MAX((Setup!$C$5-Setup!$C$7),Setup!$C$4))+$W83/4*MAX(0,MIN($AG83,Setup!$C$5+4)-MAX(Setup!$C$5,Setup!$C$4))+$F83*Setup!$C$14*MAX(0,$AG83-MAX(Setup!$C$5+4,Setup!$C$4))),"Runs out before this order can land","OK"))))</f>
        <v/>
      </c>
      <c r="AJ83" s="78" t="str">
        <f>IF($R83&lt;&gt;"OK","",IF($AB83=0,0,IF($AL83="Too slow: send it all fast",$AB83,$AR83)))</f>
        <v/>
      </c>
      <c r="AK83" s="78" t="str">
        <f>IF($R83&lt;&gt;"OK","",$AB83-$AJ83)</f>
        <v/>
      </c>
      <c r="AL83" s="78" t="str">
        <f>IF($R83&lt;&gt;"OK","",IF($AB83=0,"",IF($AB83-$AR83=0,"Nothing left over",IF($O83="Domestic",IF($AG83&lt;=Setup!$C$6+Setup!$C$20+1,"Later units can go by Domestic","Too slow: send it all fast"),IF($AS83+$N83+Setup!$C$25+Setup!$C$11&lt;=Setup!$C$6+Setup!$C$20+1,"Later units can go by Ocean long",IF($AS83+$N83+Setup!$C$26+Setup!$C$11&lt;=Setup!$C$6+Setup!$C$20+1,"Later units can go by Ocean short",IF($AS83+$N83+Setup!$C$27+Setup!$C$11&lt;=Setup!$C$6+Setup!$C$20+1,"Later units can go by Air",IF($AS83+$N83+Setup!$C$28+Setup!$C$11&lt;=Setup!$C$6+Setup!$C$20+1,"Later units can go by Express","Too slow: send it all fast"))))))))</f>
        <v/>
      </c>
      <c r="AM83" s="94" t="str">
        <f>IF($R83&lt;&gt;"OK","",$E83-$D83)</f>
        <v/>
      </c>
      <c r="AN83" s="95" t="str">
        <f>IF($R83&lt;&gt;"OK","",($E83-$D83)/$D83)</f>
        <v/>
      </c>
      <c r="AO83" s="95" t="str">
        <f>IF($R83&lt;&gt;"OK","",IF($AB83&gt;0,$AN83+IF($C83="Evergreen",1000,0),""))</f>
        <v/>
      </c>
      <c r="AP83" s="78" t="str">
        <f>IF(OR($R83&lt;&gt;"OK",$AO83=""),"",COUNTIF($AO$6:$AO$205,"&gt;"&amp;$AO83)+COUNTIF($AO$6:$AO83,$AO83))</f>
        <v/>
      </c>
      <c r="AQ83" s="78" t="str">
        <f>IF(OR($R83&lt;&gt;"OK",$AP83=""),"",INDEX('Buy list'!$G$5:$G$204,$AP83))</f>
        <v/>
      </c>
      <c r="AR83" s="78" t="str">
        <f>IF($R83&lt;&gt;"OK","",IF($AB83=0,0,MIN($AB83,CEILING(MAX(0,($F83*MAX(0,MIN((Setup!$C$6+1+Setup!$C$20),(Setup!$C$5-Setup!$C$7))-Setup!$C$4)+$F83*Setup!$C$8*MAX(0,MIN((Setup!$C$6+1+Setup!$C$20),Setup!$C$5)-MAX((Setup!$C$5-Setup!$C$7),Setup!$C$4))+$W83/4*MAX(0,MIN((Setup!$C$6+1+Setup!$C$20),Setup!$C$5+4)-MAX(Setup!$C$5,Setup!$C$4))+$F83*Setup!$C$14*MAX(0,(Setup!$C$6+1+Setup!$C$20)-MAX(Setup!$C$5+4,Setup!$C$4)))+$Y83-$K83-IF(AND($L83&lt;&gt;"",$L83&gt;0),IF($M83&lt;=Setup!$C$10,$L83,0),0)),IF(OR($P83="",$P83&lt;=0),1,$P83)))))</f>
        <v/>
      </c>
      <c r="AS83" s="96" t="str">
        <f>IF($R83&lt;&gt;"OK","",IF(AND($O83&lt;&gt;"Domestic",ISNUMBER(Setup!$C$22),Setup!$C$22&gt;Setup!$C$4),Setup!$C$22,Setup!$C$4))</f>
        <v/>
      </c>
      <c r="AT83" s="96" t="str">
        <f>IF($R83&lt;&gt;"OK","",IF($AB83=0,"",IF($O83="Domestic",$AG83,$AS83+$N83+Setup!$C$27+Setup!$C$11)))</f>
        <v/>
      </c>
    </row>
    <row r="84" ht="15" customHeight="1" s="46">
      <c r="A84" s="70" t="n"/>
      <c r="B84" s="70" t="n"/>
      <c r="C84" s="70" t="n"/>
      <c r="D84" s="85" t="n"/>
      <c r="E84" s="85" t="n"/>
      <c r="F84" s="86" t="n"/>
      <c r="G84" s="87" t="n"/>
      <c r="H84" s="88" t="n"/>
      <c r="I84" s="89" t="n"/>
      <c r="J84" s="90" t="n"/>
      <c r="K84" s="87" t="n"/>
      <c r="L84" s="87" t="n"/>
      <c r="M84" s="91" t="n"/>
      <c r="N84" s="92" t="n"/>
      <c r="O84" s="70" t="n"/>
      <c r="P84" s="92" t="n"/>
      <c r="Q84" s="87" t="n"/>
      <c r="R84" s="79" t="str">
        <f>IF($A84="","",IF($C84="","Missing: type",IF(OR($D84="",$D84&lt;=0),"Missing: unit cost",IF($E84="","Missing: unit price",IF($F84="","Missing: daily sales",IF($K84="","Missing: on hand",IF($N84="","Missing: production days",IF($O84="","Missing: freight mode",IF(ISNA(MATCH($O84,Setup!$B$25:$B$29,0)),"Unknown freight mode",IF(AND($L84&lt;&gt;"",$L84&gt;0,$M84=""),"Missing: on-order arrival date","OK"))))))))))</f>
        <v/>
      </c>
      <c r="S84" s="78" t="str">
        <f>IF($R84&lt;&gt;"OK","",IF($G84="","",ROUND($G84/IF(OR($H84="",$H84&lt;=0),4,$H84)*4,0)))</f>
        <v/>
      </c>
      <c r="T84" s="78" t="str">
        <f>IF($R84&lt;&gt;"OK","",ROUND(IF($G84="",$F84*4*Setup!$C$19,$G84/IF(OR($H84="",$H84&lt;=0),4,$H84)*4*(1+IF($I84="",Setup!$C$16,$I84)))*IF($J84="",1,$J84),0))</f>
        <v/>
      </c>
      <c r="U84" s="78" t="str">
        <f>IF($R84&lt;&gt;"OK","",ROUND($T84*Setup!$C$17,0))</f>
        <v/>
      </c>
      <c r="V84" s="78" t="str">
        <f>IF($R84&lt;&gt;"OK","",ROUND($T84*Setup!$C$18,0))</f>
        <v/>
      </c>
      <c r="W84" s="78" t="str">
        <f>IF($R84&lt;&gt;"OK","",IF($C84="Evergreen",$V84,IF($C84="Seasonal or new",$U84,$T84)))</f>
        <v/>
      </c>
      <c r="X84" s="78" t="str">
        <f>IF($R84&lt;&gt;"OK","",ROUND(($F84*MAX(0,MIN(Setup!$C$13+1,(Setup!$C$5-Setup!$C$7))-Setup!$C$4)+$F84*Setup!$C$8*MAX(0,MIN(Setup!$C$13+1,Setup!$C$5)-MAX((Setup!$C$5-Setup!$C$7),Setup!$C$4))+$W84/4*MAX(0,MIN(Setup!$C$13+1,Setup!$C$5+4)-MAX(Setup!$C$5,Setup!$C$4))+$F84*Setup!$C$14*MAX(0,Setup!$C$13+1-MAX(Setup!$C$5+4,Setup!$C$4))),0))</f>
        <v/>
      </c>
      <c r="Y84" s="78" t="str">
        <f>IF($R84&lt;&gt;"OK","",ROUND($F84*Setup!$C$15,0))</f>
        <v/>
      </c>
      <c r="Z84" s="78" t="str">
        <f>IF($R84&lt;&gt;"OK","",IF(AND($L84&lt;&gt;"",$L84&gt;0),IF($M84&lt;=Setup!$C$13,$L84,0),0))</f>
        <v/>
      </c>
      <c r="AA84" s="78" t="str">
        <f>IF($R84&lt;&gt;"OK","",MAX(0,$X84+$Y84-$K84-$Z84))</f>
        <v/>
      </c>
      <c r="AB84" s="78" t="str">
        <f>IF($R84&lt;&gt;"OK","",IF($AA84=0,0,CEILING(MAX($AA84,IF($Q84="",0,$Q84)),IF(OR($P84="",$P84&lt;=0),1,$P84))))</f>
        <v/>
      </c>
      <c r="AC84" s="78" t="str">
        <f>IF($R84&lt;&gt;"OK","",$AB84*$D84)</f>
        <v/>
      </c>
      <c r="AD84" s="93" t="str">
        <f>IF($R84&lt;&gt;"OK","",INDEX(Setup!$D$25:$D$29,MATCH($O84,Setup!$B$25:$B$29,0)))</f>
        <v/>
      </c>
      <c r="AE84" s="93" t="str">
        <f>IF($R84&lt;&gt;"OK","",$AD84-$N84)</f>
        <v/>
      </c>
      <c r="AF84" s="79" t="str">
        <f>IF($R84&lt;&gt;"OK","",IF($AB84=0,"No order needed",IF($AE84&gt;=$AS84,"Order by the deadline",IF(AND($O84&lt;&gt;"Domestic",Setup!$D$27-$N84&gt;=$AS84),"Late by this mode: fly it",IF(Setup!$D$28-$N84&gt;=$AS84,"Late: Express courier only",IF($AG84&lt;Setup!$C$5,"Tight: lands before Black Friday",IF(AND($O84&lt;&gt;"Domestic",$AT84&lt;Setup!$C$5),"Tight: by Air lands before Black Friday",IF($AS84+$N84+Setup!$C$28+Setup!$C$11&lt;Setup!$C$5,"Tight: by Express lands before Black Friday","Too late: ration"))))))))</f>
        <v/>
      </c>
      <c r="AG84" s="93" t="str">
        <f>IF($R84&lt;&gt;"OK","",IF($AB84=0,"",$AS84+$N84+INDEX(Setup!$C$25:$C$29,MATCH($O84,Setup!$B$25:$B$29,0))+Setup!$C$11))</f>
        <v/>
      </c>
      <c r="AH84" s="93" t="str">
        <f>IF($R84&lt;&gt;"OK","",IF($F84&lt;=0,"",INT(IF($K84&lt;($F84*MAX(0,(Setup!$C$5-Setup!$C$7)-Setup!$C$4)),Setup!$C$4+$K84/$F84,IF($K84&lt;($F84*MAX(0,(Setup!$C$5-Setup!$C$7)-Setup!$C$4))+($F84*Setup!$C$8*MAX(0,Setup!$C$5-MAX((Setup!$C$5-Setup!$C$7),Setup!$C$4))),MAX((Setup!$C$5-Setup!$C$7),Setup!$C$4)+($K84-($F84*MAX(0,(Setup!$C$5-Setup!$C$7)-Setup!$C$4)))/($F84*Setup!$C$8),IF(AND($W84&gt;0,$K84&lt;($F84*MAX(0,(Setup!$C$5-Setup!$C$7)-Setup!$C$4))+($F84*Setup!$C$8*MAX(0,Setup!$C$5-MAX((Setup!$C$5-Setup!$C$7),Setup!$C$4)))+($W84/4*MAX(0,Setup!$C$5+4-MAX(Setup!$C$5,Setup!$C$4)))),MAX(Setup!$C$5,Setup!$C$4)+($K84-($F84*MAX(0,(Setup!$C$5-Setup!$C$7)-Setup!$C$4))-($F84*Setup!$C$8*MAX(0,Setup!$C$5-MAX((Setup!$C$5-Setup!$C$7),Setup!$C$4))))/($W84/4),MAX(Setup!$C$5+4,Setup!$C$4)+($K84-($F84*MAX(0,(Setup!$C$5-Setup!$C$7)-Setup!$C$4))-($F84*Setup!$C$8*MAX(0,Setup!$C$5-MAX((Setup!$C$5-Setup!$C$7),Setup!$C$4)))-($W84/4*MAX(0,Setup!$C$5+4-MAX(Setup!$C$5,Setup!$C$4))))/($F84*Setup!$C$14)))))))</f>
        <v/>
      </c>
      <c r="AI84" s="79" t="str">
        <f>IF($R84&lt;&gt;"OK","",IF(AND($L84&lt;&gt;"",$L84&gt;0,ISNUMBER($AH84),$M84&gt;$AH84),"Runs out before the incoming delivery arrives",IF($AB84=0,"OK",IF($K84+IF(AND($L84&lt;&gt;"",$L84&gt;0),IF($M84&lt;=$AG84,$L84,0),0)&lt;($F84*MAX(0,MIN($AG84,(Setup!$C$5-Setup!$C$7))-Setup!$C$4)+$F84*Setup!$C$8*MAX(0,MIN($AG84,Setup!$C$5)-MAX((Setup!$C$5-Setup!$C$7),Setup!$C$4))+$W84/4*MAX(0,MIN($AG84,Setup!$C$5+4)-MAX(Setup!$C$5,Setup!$C$4))+$F84*Setup!$C$14*MAX(0,$AG84-MAX(Setup!$C$5+4,Setup!$C$4))),"Runs out before this order can land","OK"))))</f>
        <v/>
      </c>
      <c r="AJ84" s="78" t="str">
        <f>IF($R84&lt;&gt;"OK","",IF($AB84=0,0,IF($AL84="Too slow: send it all fast",$AB84,$AR84)))</f>
        <v/>
      </c>
      <c r="AK84" s="78" t="str">
        <f>IF($R84&lt;&gt;"OK","",$AB84-$AJ84)</f>
        <v/>
      </c>
      <c r="AL84" s="78" t="str">
        <f>IF($R84&lt;&gt;"OK","",IF($AB84=0,"",IF($AB84-$AR84=0,"Nothing left over",IF($O84="Domestic",IF($AG84&lt;=Setup!$C$6+Setup!$C$20+1,"Later units can go by Domestic","Too slow: send it all fast"),IF($AS84+$N84+Setup!$C$25+Setup!$C$11&lt;=Setup!$C$6+Setup!$C$20+1,"Later units can go by Ocean long",IF($AS84+$N84+Setup!$C$26+Setup!$C$11&lt;=Setup!$C$6+Setup!$C$20+1,"Later units can go by Ocean short",IF($AS84+$N84+Setup!$C$27+Setup!$C$11&lt;=Setup!$C$6+Setup!$C$20+1,"Later units can go by Air",IF($AS84+$N84+Setup!$C$28+Setup!$C$11&lt;=Setup!$C$6+Setup!$C$20+1,"Later units can go by Express","Too slow: send it all fast"))))))))</f>
        <v/>
      </c>
      <c r="AM84" s="94" t="str">
        <f>IF($R84&lt;&gt;"OK","",$E84-$D84)</f>
        <v/>
      </c>
      <c r="AN84" s="95" t="str">
        <f>IF($R84&lt;&gt;"OK","",($E84-$D84)/$D84)</f>
        <v/>
      </c>
      <c r="AO84" s="95" t="str">
        <f>IF($R84&lt;&gt;"OK","",IF($AB84&gt;0,$AN84+IF($C84="Evergreen",1000,0),""))</f>
        <v/>
      </c>
      <c r="AP84" s="78" t="str">
        <f>IF(OR($R84&lt;&gt;"OK",$AO84=""),"",COUNTIF($AO$6:$AO$205,"&gt;"&amp;$AO84)+COUNTIF($AO$6:$AO84,$AO84))</f>
        <v/>
      </c>
      <c r="AQ84" s="78" t="str">
        <f>IF(OR($R84&lt;&gt;"OK",$AP84=""),"",INDEX('Buy list'!$G$5:$G$204,$AP84))</f>
        <v/>
      </c>
      <c r="AR84" s="78" t="str">
        <f>IF($R84&lt;&gt;"OK","",IF($AB84=0,0,MIN($AB84,CEILING(MAX(0,($F84*MAX(0,MIN((Setup!$C$6+1+Setup!$C$20),(Setup!$C$5-Setup!$C$7))-Setup!$C$4)+$F84*Setup!$C$8*MAX(0,MIN((Setup!$C$6+1+Setup!$C$20),Setup!$C$5)-MAX((Setup!$C$5-Setup!$C$7),Setup!$C$4))+$W84/4*MAX(0,MIN((Setup!$C$6+1+Setup!$C$20),Setup!$C$5+4)-MAX(Setup!$C$5,Setup!$C$4))+$F84*Setup!$C$14*MAX(0,(Setup!$C$6+1+Setup!$C$20)-MAX(Setup!$C$5+4,Setup!$C$4)))+$Y84-$K84-IF(AND($L84&lt;&gt;"",$L84&gt;0),IF($M84&lt;=Setup!$C$10,$L84,0),0)),IF(OR($P84="",$P84&lt;=0),1,$P84)))))</f>
        <v/>
      </c>
      <c r="AS84" s="96" t="str">
        <f>IF($R84&lt;&gt;"OK","",IF(AND($O84&lt;&gt;"Domestic",ISNUMBER(Setup!$C$22),Setup!$C$22&gt;Setup!$C$4),Setup!$C$22,Setup!$C$4))</f>
        <v/>
      </c>
      <c r="AT84" s="96" t="str">
        <f>IF($R84&lt;&gt;"OK","",IF($AB84=0,"",IF($O84="Domestic",$AG84,$AS84+$N84+Setup!$C$27+Setup!$C$11)))</f>
        <v/>
      </c>
    </row>
    <row r="85" ht="15" customHeight="1" s="46">
      <c r="A85" s="70" t="n"/>
      <c r="B85" s="70" t="n"/>
      <c r="C85" s="70" t="n"/>
      <c r="D85" s="85" t="n"/>
      <c r="E85" s="85" t="n"/>
      <c r="F85" s="86" t="n"/>
      <c r="G85" s="87" t="n"/>
      <c r="H85" s="88" t="n"/>
      <c r="I85" s="89" t="n"/>
      <c r="J85" s="90" t="n"/>
      <c r="K85" s="87" t="n"/>
      <c r="L85" s="87" t="n"/>
      <c r="M85" s="91" t="n"/>
      <c r="N85" s="92" t="n"/>
      <c r="O85" s="70" t="n"/>
      <c r="P85" s="92" t="n"/>
      <c r="Q85" s="87" t="n"/>
      <c r="R85" s="79" t="str">
        <f>IF($A85="","",IF($C85="","Missing: type",IF(OR($D85="",$D85&lt;=0),"Missing: unit cost",IF($E85="","Missing: unit price",IF($F85="","Missing: daily sales",IF($K85="","Missing: on hand",IF($N85="","Missing: production days",IF($O85="","Missing: freight mode",IF(ISNA(MATCH($O85,Setup!$B$25:$B$29,0)),"Unknown freight mode",IF(AND($L85&lt;&gt;"",$L85&gt;0,$M85=""),"Missing: on-order arrival date","OK"))))))))))</f>
        <v/>
      </c>
      <c r="S85" s="78" t="str">
        <f>IF($R85&lt;&gt;"OK","",IF($G85="","",ROUND($G85/IF(OR($H85="",$H85&lt;=0),4,$H85)*4,0)))</f>
        <v/>
      </c>
      <c r="T85" s="78" t="str">
        <f>IF($R85&lt;&gt;"OK","",ROUND(IF($G85="",$F85*4*Setup!$C$19,$G85/IF(OR($H85="",$H85&lt;=0),4,$H85)*4*(1+IF($I85="",Setup!$C$16,$I85)))*IF($J85="",1,$J85),0))</f>
        <v/>
      </c>
      <c r="U85" s="78" t="str">
        <f>IF($R85&lt;&gt;"OK","",ROUND($T85*Setup!$C$17,0))</f>
        <v/>
      </c>
      <c r="V85" s="78" t="str">
        <f>IF($R85&lt;&gt;"OK","",ROUND($T85*Setup!$C$18,0))</f>
        <v/>
      </c>
      <c r="W85" s="78" t="str">
        <f>IF($R85&lt;&gt;"OK","",IF($C85="Evergreen",$V85,IF($C85="Seasonal or new",$U85,$T85)))</f>
        <v/>
      </c>
      <c r="X85" s="78" t="str">
        <f>IF($R85&lt;&gt;"OK","",ROUND(($F85*MAX(0,MIN(Setup!$C$13+1,(Setup!$C$5-Setup!$C$7))-Setup!$C$4)+$F85*Setup!$C$8*MAX(0,MIN(Setup!$C$13+1,Setup!$C$5)-MAX((Setup!$C$5-Setup!$C$7),Setup!$C$4))+$W85/4*MAX(0,MIN(Setup!$C$13+1,Setup!$C$5+4)-MAX(Setup!$C$5,Setup!$C$4))+$F85*Setup!$C$14*MAX(0,Setup!$C$13+1-MAX(Setup!$C$5+4,Setup!$C$4))),0))</f>
        <v/>
      </c>
      <c r="Y85" s="78" t="str">
        <f>IF($R85&lt;&gt;"OK","",ROUND($F85*Setup!$C$15,0))</f>
        <v/>
      </c>
      <c r="Z85" s="78" t="str">
        <f>IF($R85&lt;&gt;"OK","",IF(AND($L85&lt;&gt;"",$L85&gt;0),IF($M85&lt;=Setup!$C$13,$L85,0),0))</f>
        <v/>
      </c>
      <c r="AA85" s="78" t="str">
        <f>IF($R85&lt;&gt;"OK","",MAX(0,$X85+$Y85-$K85-$Z85))</f>
        <v/>
      </c>
      <c r="AB85" s="78" t="str">
        <f>IF($R85&lt;&gt;"OK","",IF($AA85=0,0,CEILING(MAX($AA85,IF($Q85="",0,$Q85)),IF(OR($P85="",$P85&lt;=0),1,$P85))))</f>
        <v/>
      </c>
      <c r="AC85" s="78" t="str">
        <f>IF($R85&lt;&gt;"OK","",$AB85*$D85)</f>
        <v/>
      </c>
      <c r="AD85" s="93" t="str">
        <f>IF($R85&lt;&gt;"OK","",INDEX(Setup!$D$25:$D$29,MATCH($O85,Setup!$B$25:$B$29,0)))</f>
        <v/>
      </c>
      <c r="AE85" s="93" t="str">
        <f>IF($R85&lt;&gt;"OK","",$AD85-$N85)</f>
        <v/>
      </c>
      <c r="AF85" s="79" t="str">
        <f>IF($R85&lt;&gt;"OK","",IF($AB85=0,"No order needed",IF($AE85&gt;=$AS85,"Order by the deadline",IF(AND($O85&lt;&gt;"Domestic",Setup!$D$27-$N85&gt;=$AS85),"Late by this mode: fly it",IF(Setup!$D$28-$N85&gt;=$AS85,"Late: Express courier only",IF($AG85&lt;Setup!$C$5,"Tight: lands before Black Friday",IF(AND($O85&lt;&gt;"Domestic",$AT85&lt;Setup!$C$5),"Tight: by Air lands before Black Friday",IF($AS85+$N85+Setup!$C$28+Setup!$C$11&lt;Setup!$C$5,"Tight: by Express lands before Black Friday","Too late: ration"))))))))</f>
        <v/>
      </c>
      <c r="AG85" s="93" t="str">
        <f>IF($R85&lt;&gt;"OK","",IF($AB85=0,"",$AS85+$N85+INDEX(Setup!$C$25:$C$29,MATCH($O85,Setup!$B$25:$B$29,0))+Setup!$C$11))</f>
        <v/>
      </c>
      <c r="AH85" s="93" t="str">
        <f>IF($R85&lt;&gt;"OK","",IF($F85&lt;=0,"",INT(IF($K85&lt;($F85*MAX(0,(Setup!$C$5-Setup!$C$7)-Setup!$C$4)),Setup!$C$4+$K85/$F85,IF($K85&lt;($F85*MAX(0,(Setup!$C$5-Setup!$C$7)-Setup!$C$4))+($F85*Setup!$C$8*MAX(0,Setup!$C$5-MAX((Setup!$C$5-Setup!$C$7),Setup!$C$4))),MAX((Setup!$C$5-Setup!$C$7),Setup!$C$4)+($K85-($F85*MAX(0,(Setup!$C$5-Setup!$C$7)-Setup!$C$4)))/($F85*Setup!$C$8),IF(AND($W85&gt;0,$K85&lt;($F85*MAX(0,(Setup!$C$5-Setup!$C$7)-Setup!$C$4))+($F85*Setup!$C$8*MAX(0,Setup!$C$5-MAX((Setup!$C$5-Setup!$C$7),Setup!$C$4)))+($W85/4*MAX(0,Setup!$C$5+4-MAX(Setup!$C$5,Setup!$C$4)))),MAX(Setup!$C$5,Setup!$C$4)+($K85-($F85*MAX(0,(Setup!$C$5-Setup!$C$7)-Setup!$C$4))-($F85*Setup!$C$8*MAX(0,Setup!$C$5-MAX((Setup!$C$5-Setup!$C$7),Setup!$C$4))))/($W85/4),MAX(Setup!$C$5+4,Setup!$C$4)+($K85-($F85*MAX(0,(Setup!$C$5-Setup!$C$7)-Setup!$C$4))-($F85*Setup!$C$8*MAX(0,Setup!$C$5-MAX((Setup!$C$5-Setup!$C$7),Setup!$C$4)))-($W85/4*MAX(0,Setup!$C$5+4-MAX(Setup!$C$5,Setup!$C$4))))/($F85*Setup!$C$14)))))))</f>
        <v/>
      </c>
      <c r="AI85" s="79" t="str">
        <f>IF($R85&lt;&gt;"OK","",IF(AND($L85&lt;&gt;"",$L85&gt;0,ISNUMBER($AH85),$M85&gt;$AH85),"Runs out before the incoming delivery arrives",IF($AB85=0,"OK",IF($K85+IF(AND($L85&lt;&gt;"",$L85&gt;0),IF($M85&lt;=$AG85,$L85,0),0)&lt;($F85*MAX(0,MIN($AG85,(Setup!$C$5-Setup!$C$7))-Setup!$C$4)+$F85*Setup!$C$8*MAX(0,MIN($AG85,Setup!$C$5)-MAX((Setup!$C$5-Setup!$C$7),Setup!$C$4))+$W85/4*MAX(0,MIN($AG85,Setup!$C$5+4)-MAX(Setup!$C$5,Setup!$C$4))+$F85*Setup!$C$14*MAX(0,$AG85-MAX(Setup!$C$5+4,Setup!$C$4))),"Runs out before this order can land","OK"))))</f>
        <v/>
      </c>
      <c r="AJ85" s="78" t="str">
        <f>IF($R85&lt;&gt;"OK","",IF($AB85=0,0,IF($AL85="Too slow: send it all fast",$AB85,$AR85)))</f>
        <v/>
      </c>
      <c r="AK85" s="78" t="str">
        <f>IF($R85&lt;&gt;"OK","",$AB85-$AJ85)</f>
        <v/>
      </c>
      <c r="AL85" s="78" t="str">
        <f>IF($R85&lt;&gt;"OK","",IF($AB85=0,"",IF($AB85-$AR85=0,"Nothing left over",IF($O85="Domestic",IF($AG85&lt;=Setup!$C$6+Setup!$C$20+1,"Later units can go by Domestic","Too slow: send it all fast"),IF($AS85+$N85+Setup!$C$25+Setup!$C$11&lt;=Setup!$C$6+Setup!$C$20+1,"Later units can go by Ocean long",IF($AS85+$N85+Setup!$C$26+Setup!$C$11&lt;=Setup!$C$6+Setup!$C$20+1,"Later units can go by Ocean short",IF($AS85+$N85+Setup!$C$27+Setup!$C$11&lt;=Setup!$C$6+Setup!$C$20+1,"Later units can go by Air",IF($AS85+$N85+Setup!$C$28+Setup!$C$11&lt;=Setup!$C$6+Setup!$C$20+1,"Later units can go by Express","Too slow: send it all fast"))))))))</f>
        <v/>
      </c>
      <c r="AM85" s="94" t="str">
        <f>IF($R85&lt;&gt;"OK","",$E85-$D85)</f>
        <v/>
      </c>
      <c r="AN85" s="95" t="str">
        <f>IF($R85&lt;&gt;"OK","",($E85-$D85)/$D85)</f>
        <v/>
      </c>
      <c r="AO85" s="95" t="str">
        <f>IF($R85&lt;&gt;"OK","",IF($AB85&gt;0,$AN85+IF($C85="Evergreen",1000,0),""))</f>
        <v/>
      </c>
      <c r="AP85" s="78" t="str">
        <f>IF(OR($R85&lt;&gt;"OK",$AO85=""),"",COUNTIF($AO$6:$AO$205,"&gt;"&amp;$AO85)+COUNTIF($AO$6:$AO85,$AO85))</f>
        <v/>
      </c>
      <c r="AQ85" s="78" t="str">
        <f>IF(OR($R85&lt;&gt;"OK",$AP85=""),"",INDEX('Buy list'!$G$5:$G$204,$AP85))</f>
        <v/>
      </c>
      <c r="AR85" s="78" t="str">
        <f>IF($R85&lt;&gt;"OK","",IF($AB85=0,0,MIN($AB85,CEILING(MAX(0,($F85*MAX(0,MIN((Setup!$C$6+1+Setup!$C$20),(Setup!$C$5-Setup!$C$7))-Setup!$C$4)+$F85*Setup!$C$8*MAX(0,MIN((Setup!$C$6+1+Setup!$C$20),Setup!$C$5)-MAX((Setup!$C$5-Setup!$C$7),Setup!$C$4))+$W85/4*MAX(0,MIN((Setup!$C$6+1+Setup!$C$20),Setup!$C$5+4)-MAX(Setup!$C$5,Setup!$C$4))+$F85*Setup!$C$14*MAX(0,(Setup!$C$6+1+Setup!$C$20)-MAX(Setup!$C$5+4,Setup!$C$4)))+$Y85-$K85-IF(AND($L85&lt;&gt;"",$L85&gt;0),IF($M85&lt;=Setup!$C$10,$L85,0),0)),IF(OR($P85="",$P85&lt;=0),1,$P85)))))</f>
        <v/>
      </c>
      <c r="AS85" s="96" t="str">
        <f>IF($R85&lt;&gt;"OK","",IF(AND($O85&lt;&gt;"Domestic",ISNUMBER(Setup!$C$22),Setup!$C$22&gt;Setup!$C$4),Setup!$C$22,Setup!$C$4))</f>
        <v/>
      </c>
      <c r="AT85" s="96" t="str">
        <f>IF($R85&lt;&gt;"OK","",IF($AB85=0,"",IF($O85="Domestic",$AG85,$AS85+$N85+Setup!$C$27+Setup!$C$11)))</f>
        <v/>
      </c>
    </row>
    <row r="86" ht="15" customHeight="1" s="46">
      <c r="A86" s="70" t="n"/>
      <c r="B86" s="70" t="n"/>
      <c r="C86" s="70" t="n"/>
      <c r="D86" s="85" t="n"/>
      <c r="E86" s="85" t="n"/>
      <c r="F86" s="86" t="n"/>
      <c r="G86" s="87" t="n"/>
      <c r="H86" s="88" t="n"/>
      <c r="I86" s="89" t="n"/>
      <c r="J86" s="90" t="n"/>
      <c r="K86" s="87" t="n"/>
      <c r="L86" s="87" t="n"/>
      <c r="M86" s="91" t="n"/>
      <c r="N86" s="92" t="n"/>
      <c r="O86" s="70" t="n"/>
      <c r="P86" s="92" t="n"/>
      <c r="Q86" s="87" t="n"/>
      <c r="R86" s="79" t="str">
        <f>IF($A86="","",IF($C86="","Missing: type",IF(OR($D86="",$D86&lt;=0),"Missing: unit cost",IF($E86="","Missing: unit price",IF($F86="","Missing: daily sales",IF($K86="","Missing: on hand",IF($N86="","Missing: production days",IF($O86="","Missing: freight mode",IF(ISNA(MATCH($O86,Setup!$B$25:$B$29,0)),"Unknown freight mode",IF(AND($L86&lt;&gt;"",$L86&gt;0,$M86=""),"Missing: on-order arrival date","OK"))))))))))</f>
        <v/>
      </c>
      <c r="S86" s="78" t="str">
        <f>IF($R86&lt;&gt;"OK","",IF($G86="","",ROUND($G86/IF(OR($H86="",$H86&lt;=0),4,$H86)*4,0)))</f>
        <v/>
      </c>
      <c r="T86" s="78" t="str">
        <f>IF($R86&lt;&gt;"OK","",ROUND(IF($G86="",$F86*4*Setup!$C$19,$G86/IF(OR($H86="",$H86&lt;=0),4,$H86)*4*(1+IF($I86="",Setup!$C$16,$I86)))*IF($J86="",1,$J86),0))</f>
        <v/>
      </c>
      <c r="U86" s="78" t="str">
        <f>IF($R86&lt;&gt;"OK","",ROUND($T86*Setup!$C$17,0))</f>
        <v/>
      </c>
      <c r="V86" s="78" t="str">
        <f>IF($R86&lt;&gt;"OK","",ROUND($T86*Setup!$C$18,0))</f>
        <v/>
      </c>
      <c r="W86" s="78" t="str">
        <f>IF($R86&lt;&gt;"OK","",IF($C86="Evergreen",$V86,IF($C86="Seasonal or new",$U86,$T86)))</f>
        <v/>
      </c>
      <c r="X86" s="78" t="str">
        <f>IF($R86&lt;&gt;"OK","",ROUND(($F86*MAX(0,MIN(Setup!$C$13+1,(Setup!$C$5-Setup!$C$7))-Setup!$C$4)+$F86*Setup!$C$8*MAX(0,MIN(Setup!$C$13+1,Setup!$C$5)-MAX((Setup!$C$5-Setup!$C$7),Setup!$C$4))+$W86/4*MAX(0,MIN(Setup!$C$13+1,Setup!$C$5+4)-MAX(Setup!$C$5,Setup!$C$4))+$F86*Setup!$C$14*MAX(0,Setup!$C$13+1-MAX(Setup!$C$5+4,Setup!$C$4))),0))</f>
        <v/>
      </c>
      <c r="Y86" s="78" t="str">
        <f>IF($R86&lt;&gt;"OK","",ROUND($F86*Setup!$C$15,0))</f>
        <v/>
      </c>
      <c r="Z86" s="78" t="str">
        <f>IF($R86&lt;&gt;"OK","",IF(AND($L86&lt;&gt;"",$L86&gt;0),IF($M86&lt;=Setup!$C$13,$L86,0),0))</f>
        <v/>
      </c>
      <c r="AA86" s="78" t="str">
        <f>IF($R86&lt;&gt;"OK","",MAX(0,$X86+$Y86-$K86-$Z86))</f>
        <v/>
      </c>
      <c r="AB86" s="78" t="str">
        <f>IF($R86&lt;&gt;"OK","",IF($AA86=0,0,CEILING(MAX($AA86,IF($Q86="",0,$Q86)),IF(OR($P86="",$P86&lt;=0),1,$P86))))</f>
        <v/>
      </c>
      <c r="AC86" s="78" t="str">
        <f>IF($R86&lt;&gt;"OK","",$AB86*$D86)</f>
        <v/>
      </c>
      <c r="AD86" s="93" t="str">
        <f>IF($R86&lt;&gt;"OK","",INDEX(Setup!$D$25:$D$29,MATCH($O86,Setup!$B$25:$B$29,0)))</f>
        <v/>
      </c>
      <c r="AE86" s="93" t="str">
        <f>IF($R86&lt;&gt;"OK","",$AD86-$N86)</f>
        <v/>
      </c>
      <c r="AF86" s="79" t="str">
        <f>IF($R86&lt;&gt;"OK","",IF($AB86=0,"No order needed",IF($AE86&gt;=$AS86,"Order by the deadline",IF(AND($O86&lt;&gt;"Domestic",Setup!$D$27-$N86&gt;=$AS86),"Late by this mode: fly it",IF(Setup!$D$28-$N86&gt;=$AS86,"Late: Express courier only",IF($AG86&lt;Setup!$C$5,"Tight: lands before Black Friday",IF(AND($O86&lt;&gt;"Domestic",$AT86&lt;Setup!$C$5),"Tight: by Air lands before Black Friday",IF($AS86+$N86+Setup!$C$28+Setup!$C$11&lt;Setup!$C$5,"Tight: by Express lands before Black Friday","Too late: ration"))))))))</f>
        <v/>
      </c>
      <c r="AG86" s="93" t="str">
        <f>IF($R86&lt;&gt;"OK","",IF($AB86=0,"",$AS86+$N86+INDEX(Setup!$C$25:$C$29,MATCH($O86,Setup!$B$25:$B$29,0))+Setup!$C$11))</f>
        <v/>
      </c>
      <c r="AH86" s="93" t="str">
        <f>IF($R86&lt;&gt;"OK","",IF($F86&lt;=0,"",INT(IF($K86&lt;($F86*MAX(0,(Setup!$C$5-Setup!$C$7)-Setup!$C$4)),Setup!$C$4+$K86/$F86,IF($K86&lt;($F86*MAX(0,(Setup!$C$5-Setup!$C$7)-Setup!$C$4))+($F86*Setup!$C$8*MAX(0,Setup!$C$5-MAX((Setup!$C$5-Setup!$C$7),Setup!$C$4))),MAX((Setup!$C$5-Setup!$C$7),Setup!$C$4)+($K86-($F86*MAX(0,(Setup!$C$5-Setup!$C$7)-Setup!$C$4)))/($F86*Setup!$C$8),IF(AND($W86&gt;0,$K86&lt;($F86*MAX(0,(Setup!$C$5-Setup!$C$7)-Setup!$C$4))+($F86*Setup!$C$8*MAX(0,Setup!$C$5-MAX((Setup!$C$5-Setup!$C$7),Setup!$C$4)))+($W86/4*MAX(0,Setup!$C$5+4-MAX(Setup!$C$5,Setup!$C$4)))),MAX(Setup!$C$5,Setup!$C$4)+($K86-($F86*MAX(0,(Setup!$C$5-Setup!$C$7)-Setup!$C$4))-($F86*Setup!$C$8*MAX(0,Setup!$C$5-MAX((Setup!$C$5-Setup!$C$7),Setup!$C$4))))/($W86/4),MAX(Setup!$C$5+4,Setup!$C$4)+($K86-($F86*MAX(0,(Setup!$C$5-Setup!$C$7)-Setup!$C$4))-($F86*Setup!$C$8*MAX(0,Setup!$C$5-MAX((Setup!$C$5-Setup!$C$7),Setup!$C$4)))-($W86/4*MAX(0,Setup!$C$5+4-MAX(Setup!$C$5,Setup!$C$4))))/($F86*Setup!$C$14)))))))</f>
        <v/>
      </c>
      <c r="AI86" s="79" t="str">
        <f>IF($R86&lt;&gt;"OK","",IF(AND($L86&lt;&gt;"",$L86&gt;0,ISNUMBER($AH86),$M86&gt;$AH86),"Runs out before the incoming delivery arrives",IF($AB86=0,"OK",IF($K86+IF(AND($L86&lt;&gt;"",$L86&gt;0),IF($M86&lt;=$AG86,$L86,0),0)&lt;($F86*MAX(0,MIN($AG86,(Setup!$C$5-Setup!$C$7))-Setup!$C$4)+$F86*Setup!$C$8*MAX(0,MIN($AG86,Setup!$C$5)-MAX((Setup!$C$5-Setup!$C$7),Setup!$C$4))+$W86/4*MAX(0,MIN($AG86,Setup!$C$5+4)-MAX(Setup!$C$5,Setup!$C$4))+$F86*Setup!$C$14*MAX(0,$AG86-MAX(Setup!$C$5+4,Setup!$C$4))),"Runs out before this order can land","OK"))))</f>
        <v/>
      </c>
      <c r="AJ86" s="78" t="str">
        <f>IF($R86&lt;&gt;"OK","",IF($AB86=0,0,IF($AL86="Too slow: send it all fast",$AB86,$AR86)))</f>
        <v/>
      </c>
      <c r="AK86" s="78" t="str">
        <f>IF($R86&lt;&gt;"OK","",$AB86-$AJ86)</f>
        <v/>
      </c>
      <c r="AL86" s="78" t="str">
        <f>IF($R86&lt;&gt;"OK","",IF($AB86=0,"",IF($AB86-$AR86=0,"Nothing left over",IF($O86="Domestic",IF($AG86&lt;=Setup!$C$6+Setup!$C$20+1,"Later units can go by Domestic","Too slow: send it all fast"),IF($AS86+$N86+Setup!$C$25+Setup!$C$11&lt;=Setup!$C$6+Setup!$C$20+1,"Later units can go by Ocean long",IF($AS86+$N86+Setup!$C$26+Setup!$C$11&lt;=Setup!$C$6+Setup!$C$20+1,"Later units can go by Ocean short",IF($AS86+$N86+Setup!$C$27+Setup!$C$11&lt;=Setup!$C$6+Setup!$C$20+1,"Later units can go by Air",IF($AS86+$N86+Setup!$C$28+Setup!$C$11&lt;=Setup!$C$6+Setup!$C$20+1,"Later units can go by Express","Too slow: send it all fast"))))))))</f>
        <v/>
      </c>
      <c r="AM86" s="94" t="str">
        <f>IF($R86&lt;&gt;"OK","",$E86-$D86)</f>
        <v/>
      </c>
      <c r="AN86" s="95" t="str">
        <f>IF($R86&lt;&gt;"OK","",($E86-$D86)/$D86)</f>
        <v/>
      </c>
      <c r="AO86" s="95" t="str">
        <f>IF($R86&lt;&gt;"OK","",IF($AB86&gt;0,$AN86+IF($C86="Evergreen",1000,0),""))</f>
        <v/>
      </c>
      <c r="AP86" s="78" t="str">
        <f>IF(OR($R86&lt;&gt;"OK",$AO86=""),"",COUNTIF($AO$6:$AO$205,"&gt;"&amp;$AO86)+COUNTIF($AO$6:$AO86,$AO86))</f>
        <v/>
      </c>
      <c r="AQ86" s="78" t="str">
        <f>IF(OR($R86&lt;&gt;"OK",$AP86=""),"",INDEX('Buy list'!$G$5:$G$204,$AP86))</f>
        <v/>
      </c>
      <c r="AR86" s="78" t="str">
        <f>IF($R86&lt;&gt;"OK","",IF($AB86=0,0,MIN($AB86,CEILING(MAX(0,($F86*MAX(0,MIN((Setup!$C$6+1+Setup!$C$20),(Setup!$C$5-Setup!$C$7))-Setup!$C$4)+$F86*Setup!$C$8*MAX(0,MIN((Setup!$C$6+1+Setup!$C$20),Setup!$C$5)-MAX((Setup!$C$5-Setup!$C$7),Setup!$C$4))+$W86/4*MAX(0,MIN((Setup!$C$6+1+Setup!$C$20),Setup!$C$5+4)-MAX(Setup!$C$5,Setup!$C$4))+$F86*Setup!$C$14*MAX(0,(Setup!$C$6+1+Setup!$C$20)-MAX(Setup!$C$5+4,Setup!$C$4)))+$Y86-$K86-IF(AND($L86&lt;&gt;"",$L86&gt;0),IF($M86&lt;=Setup!$C$10,$L86,0),0)),IF(OR($P86="",$P86&lt;=0),1,$P86)))))</f>
        <v/>
      </c>
      <c r="AS86" s="96" t="str">
        <f>IF($R86&lt;&gt;"OK","",IF(AND($O86&lt;&gt;"Domestic",ISNUMBER(Setup!$C$22),Setup!$C$22&gt;Setup!$C$4),Setup!$C$22,Setup!$C$4))</f>
        <v/>
      </c>
      <c r="AT86" s="96" t="str">
        <f>IF($R86&lt;&gt;"OK","",IF($AB86=0,"",IF($O86="Domestic",$AG86,$AS86+$N86+Setup!$C$27+Setup!$C$11)))</f>
        <v/>
      </c>
    </row>
    <row r="87" ht="15" customHeight="1" s="46">
      <c r="A87" s="70" t="n"/>
      <c r="B87" s="70" t="n"/>
      <c r="C87" s="70" t="n"/>
      <c r="D87" s="85" t="n"/>
      <c r="E87" s="85" t="n"/>
      <c r="F87" s="86" t="n"/>
      <c r="G87" s="87" t="n"/>
      <c r="H87" s="88" t="n"/>
      <c r="I87" s="89" t="n"/>
      <c r="J87" s="90" t="n"/>
      <c r="K87" s="87" t="n"/>
      <c r="L87" s="87" t="n"/>
      <c r="M87" s="91" t="n"/>
      <c r="N87" s="92" t="n"/>
      <c r="O87" s="70" t="n"/>
      <c r="P87" s="92" t="n"/>
      <c r="Q87" s="87" t="n"/>
      <c r="R87" s="79" t="str">
        <f>IF($A87="","",IF($C87="","Missing: type",IF(OR($D87="",$D87&lt;=0),"Missing: unit cost",IF($E87="","Missing: unit price",IF($F87="","Missing: daily sales",IF($K87="","Missing: on hand",IF($N87="","Missing: production days",IF($O87="","Missing: freight mode",IF(ISNA(MATCH($O87,Setup!$B$25:$B$29,0)),"Unknown freight mode",IF(AND($L87&lt;&gt;"",$L87&gt;0,$M87=""),"Missing: on-order arrival date","OK"))))))))))</f>
        <v/>
      </c>
      <c r="S87" s="78" t="str">
        <f>IF($R87&lt;&gt;"OK","",IF($G87="","",ROUND($G87/IF(OR($H87="",$H87&lt;=0),4,$H87)*4,0)))</f>
        <v/>
      </c>
      <c r="T87" s="78" t="str">
        <f>IF($R87&lt;&gt;"OK","",ROUND(IF($G87="",$F87*4*Setup!$C$19,$G87/IF(OR($H87="",$H87&lt;=0),4,$H87)*4*(1+IF($I87="",Setup!$C$16,$I87)))*IF($J87="",1,$J87),0))</f>
        <v/>
      </c>
      <c r="U87" s="78" t="str">
        <f>IF($R87&lt;&gt;"OK","",ROUND($T87*Setup!$C$17,0))</f>
        <v/>
      </c>
      <c r="V87" s="78" t="str">
        <f>IF($R87&lt;&gt;"OK","",ROUND($T87*Setup!$C$18,0))</f>
        <v/>
      </c>
      <c r="W87" s="78" t="str">
        <f>IF($R87&lt;&gt;"OK","",IF($C87="Evergreen",$V87,IF($C87="Seasonal or new",$U87,$T87)))</f>
        <v/>
      </c>
      <c r="X87" s="78" t="str">
        <f>IF($R87&lt;&gt;"OK","",ROUND(($F87*MAX(0,MIN(Setup!$C$13+1,(Setup!$C$5-Setup!$C$7))-Setup!$C$4)+$F87*Setup!$C$8*MAX(0,MIN(Setup!$C$13+1,Setup!$C$5)-MAX((Setup!$C$5-Setup!$C$7),Setup!$C$4))+$W87/4*MAX(0,MIN(Setup!$C$13+1,Setup!$C$5+4)-MAX(Setup!$C$5,Setup!$C$4))+$F87*Setup!$C$14*MAX(0,Setup!$C$13+1-MAX(Setup!$C$5+4,Setup!$C$4))),0))</f>
        <v/>
      </c>
      <c r="Y87" s="78" t="str">
        <f>IF($R87&lt;&gt;"OK","",ROUND($F87*Setup!$C$15,0))</f>
        <v/>
      </c>
      <c r="Z87" s="78" t="str">
        <f>IF($R87&lt;&gt;"OK","",IF(AND($L87&lt;&gt;"",$L87&gt;0),IF($M87&lt;=Setup!$C$13,$L87,0),0))</f>
        <v/>
      </c>
      <c r="AA87" s="78" t="str">
        <f>IF($R87&lt;&gt;"OK","",MAX(0,$X87+$Y87-$K87-$Z87))</f>
        <v/>
      </c>
      <c r="AB87" s="78" t="str">
        <f>IF($R87&lt;&gt;"OK","",IF($AA87=0,0,CEILING(MAX($AA87,IF($Q87="",0,$Q87)),IF(OR($P87="",$P87&lt;=0),1,$P87))))</f>
        <v/>
      </c>
      <c r="AC87" s="78" t="str">
        <f>IF($R87&lt;&gt;"OK","",$AB87*$D87)</f>
        <v/>
      </c>
      <c r="AD87" s="93" t="str">
        <f>IF($R87&lt;&gt;"OK","",INDEX(Setup!$D$25:$D$29,MATCH($O87,Setup!$B$25:$B$29,0)))</f>
        <v/>
      </c>
      <c r="AE87" s="93" t="str">
        <f>IF($R87&lt;&gt;"OK","",$AD87-$N87)</f>
        <v/>
      </c>
      <c r="AF87" s="79" t="str">
        <f>IF($R87&lt;&gt;"OK","",IF($AB87=0,"No order needed",IF($AE87&gt;=$AS87,"Order by the deadline",IF(AND($O87&lt;&gt;"Domestic",Setup!$D$27-$N87&gt;=$AS87),"Late by this mode: fly it",IF(Setup!$D$28-$N87&gt;=$AS87,"Late: Express courier only",IF($AG87&lt;Setup!$C$5,"Tight: lands before Black Friday",IF(AND($O87&lt;&gt;"Domestic",$AT87&lt;Setup!$C$5),"Tight: by Air lands before Black Friday",IF($AS87+$N87+Setup!$C$28+Setup!$C$11&lt;Setup!$C$5,"Tight: by Express lands before Black Friday","Too late: ration"))))))))</f>
        <v/>
      </c>
      <c r="AG87" s="93" t="str">
        <f>IF($R87&lt;&gt;"OK","",IF($AB87=0,"",$AS87+$N87+INDEX(Setup!$C$25:$C$29,MATCH($O87,Setup!$B$25:$B$29,0))+Setup!$C$11))</f>
        <v/>
      </c>
      <c r="AH87" s="93" t="str">
        <f>IF($R87&lt;&gt;"OK","",IF($F87&lt;=0,"",INT(IF($K87&lt;($F87*MAX(0,(Setup!$C$5-Setup!$C$7)-Setup!$C$4)),Setup!$C$4+$K87/$F87,IF($K87&lt;($F87*MAX(0,(Setup!$C$5-Setup!$C$7)-Setup!$C$4))+($F87*Setup!$C$8*MAX(0,Setup!$C$5-MAX((Setup!$C$5-Setup!$C$7),Setup!$C$4))),MAX((Setup!$C$5-Setup!$C$7),Setup!$C$4)+($K87-($F87*MAX(0,(Setup!$C$5-Setup!$C$7)-Setup!$C$4)))/($F87*Setup!$C$8),IF(AND($W87&gt;0,$K87&lt;($F87*MAX(0,(Setup!$C$5-Setup!$C$7)-Setup!$C$4))+($F87*Setup!$C$8*MAX(0,Setup!$C$5-MAX((Setup!$C$5-Setup!$C$7),Setup!$C$4)))+($W87/4*MAX(0,Setup!$C$5+4-MAX(Setup!$C$5,Setup!$C$4)))),MAX(Setup!$C$5,Setup!$C$4)+($K87-($F87*MAX(0,(Setup!$C$5-Setup!$C$7)-Setup!$C$4))-($F87*Setup!$C$8*MAX(0,Setup!$C$5-MAX((Setup!$C$5-Setup!$C$7),Setup!$C$4))))/($W87/4),MAX(Setup!$C$5+4,Setup!$C$4)+($K87-($F87*MAX(0,(Setup!$C$5-Setup!$C$7)-Setup!$C$4))-($F87*Setup!$C$8*MAX(0,Setup!$C$5-MAX((Setup!$C$5-Setup!$C$7),Setup!$C$4)))-($W87/4*MAX(0,Setup!$C$5+4-MAX(Setup!$C$5,Setup!$C$4))))/($F87*Setup!$C$14)))))))</f>
        <v/>
      </c>
      <c r="AI87" s="79" t="str">
        <f>IF($R87&lt;&gt;"OK","",IF(AND($L87&lt;&gt;"",$L87&gt;0,ISNUMBER($AH87),$M87&gt;$AH87),"Runs out before the incoming delivery arrives",IF($AB87=0,"OK",IF($K87+IF(AND($L87&lt;&gt;"",$L87&gt;0),IF($M87&lt;=$AG87,$L87,0),0)&lt;($F87*MAX(0,MIN($AG87,(Setup!$C$5-Setup!$C$7))-Setup!$C$4)+$F87*Setup!$C$8*MAX(0,MIN($AG87,Setup!$C$5)-MAX((Setup!$C$5-Setup!$C$7),Setup!$C$4))+$W87/4*MAX(0,MIN($AG87,Setup!$C$5+4)-MAX(Setup!$C$5,Setup!$C$4))+$F87*Setup!$C$14*MAX(0,$AG87-MAX(Setup!$C$5+4,Setup!$C$4))),"Runs out before this order can land","OK"))))</f>
        <v/>
      </c>
      <c r="AJ87" s="78" t="str">
        <f>IF($R87&lt;&gt;"OK","",IF($AB87=0,0,IF($AL87="Too slow: send it all fast",$AB87,$AR87)))</f>
        <v/>
      </c>
      <c r="AK87" s="78" t="str">
        <f>IF($R87&lt;&gt;"OK","",$AB87-$AJ87)</f>
        <v/>
      </c>
      <c r="AL87" s="78" t="str">
        <f>IF($R87&lt;&gt;"OK","",IF($AB87=0,"",IF($AB87-$AR87=0,"Nothing left over",IF($O87="Domestic",IF($AG87&lt;=Setup!$C$6+Setup!$C$20+1,"Later units can go by Domestic","Too slow: send it all fast"),IF($AS87+$N87+Setup!$C$25+Setup!$C$11&lt;=Setup!$C$6+Setup!$C$20+1,"Later units can go by Ocean long",IF($AS87+$N87+Setup!$C$26+Setup!$C$11&lt;=Setup!$C$6+Setup!$C$20+1,"Later units can go by Ocean short",IF($AS87+$N87+Setup!$C$27+Setup!$C$11&lt;=Setup!$C$6+Setup!$C$20+1,"Later units can go by Air",IF($AS87+$N87+Setup!$C$28+Setup!$C$11&lt;=Setup!$C$6+Setup!$C$20+1,"Later units can go by Express","Too slow: send it all fast"))))))))</f>
        <v/>
      </c>
      <c r="AM87" s="94" t="str">
        <f>IF($R87&lt;&gt;"OK","",$E87-$D87)</f>
        <v/>
      </c>
      <c r="AN87" s="95" t="str">
        <f>IF($R87&lt;&gt;"OK","",($E87-$D87)/$D87)</f>
        <v/>
      </c>
      <c r="AO87" s="95" t="str">
        <f>IF($R87&lt;&gt;"OK","",IF($AB87&gt;0,$AN87+IF($C87="Evergreen",1000,0),""))</f>
        <v/>
      </c>
      <c r="AP87" s="78" t="str">
        <f>IF(OR($R87&lt;&gt;"OK",$AO87=""),"",COUNTIF($AO$6:$AO$205,"&gt;"&amp;$AO87)+COUNTIF($AO$6:$AO87,$AO87))</f>
        <v/>
      </c>
      <c r="AQ87" s="78" t="str">
        <f>IF(OR($R87&lt;&gt;"OK",$AP87=""),"",INDEX('Buy list'!$G$5:$G$204,$AP87))</f>
        <v/>
      </c>
      <c r="AR87" s="78" t="str">
        <f>IF($R87&lt;&gt;"OK","",IF($AB87=0,0,MIN($AB87,CEILING(MAX(0,($F87*MAX(0,MIN((Setup!$C$6+1+Setup!$C$20),(Setup!$C$5-Setup!$C$7))-Setup!$C$4)+$F87*Setup!$C$8*MAX(0,MIN((Setup!$C$6+1+Setup!$C$20),Setup!$C$5)-MAX((Setup!$C$5-Setup!$C$7),Setup!$C$4))+$W87/4*MAX(0,MIN((Setup!$C$6+1+Setup!$C$20),Setup!$C$5+4)-MAX(Setup!$C$5,Setup!$C$4))+$F87*Setup!$C$14*MAX(0,(Setup!$C$6+1+Setup!$C$20)-MAX(Setup!$C$5+4,Setup!$C$4)))+$Y87-$K87-IF(AND($L87&lt;&gt;"",$L87&gt;0),IF($M87&lt;=Setup!$C$10,$L87,0),0)),IF(OR($P87="",$P87&lt;=0),1,$P87)))))</f>
        <v/>
      </c>
      <c r="AS87" s="96" t="str">
        <f>IF($R87&lt;&gt;"OK","",IF(AND($O87&lt;&gt;"Domestic",ISNUMBER(Setup!$C$22),Setup!$C$22&gt;Setup!$C$4),Setup!$C$22,Setup!$C$4))</f>
        <v/>
      </c>
      <c r="AT87" s="96" t="str">
        <f>IF($R87&lt;&gt;"OK","",IF($AB87=0,"",IF($O87="Domestic",$AG87,$AS87+$N87+Setup!$C$27+Setup!$C$11)))</f>
        <v/>
      </c>
    </row>
    <row r="88" ht="15" customHeight="1" s="46">
      <c r="A88" s="70" t="n"/>
      <c r="B88" s="70" t="n"/>
      <c r="C88" s="70" t="n"/>
      <c r="D88" s="85" t="n"/>
      <c r="E88" s="85" t="n"/>
      <c r="F88" s="86" t="n"/>
      <c r="G88" s="87" t="n"/>
      <c r="H88" s="88" t="n"/>
      <c r="I88" s="89" t="n"/>
      <c r="J88" s="90" t="n"/>
      <c r="K88" s="87" t="n"/>
      <c r="L88" s="87" t="n"/>
      <c r="M88" s="91" t="n"/>
      <c r="N88" s="92" t="n"/>
      <c r="O88" s="70" t="n"/>
      <c r="P88" s="92" t="n"/>
      <c r="Q88" s="87" t="n"/>
      <c r="R88" s="79" t="str">
        <f>IF($A88="","",IF($C88="","Missing: type",IF(OR($D88="",$D88&lt;=0),"Missing: unit cost",IF($E88="","Missing: unit price",IF($F88="","Missing: daily sales",IF($K88="","Missing: on hand",IF($N88="","Missing: production days",IF($O88="","Missing: freight mode",IF(ISNA(MATCH($O88,Setup!$B$25:$B$29,0)),"Unknown freight mode",IF(AND($L88&lt;&gt;"",$L88&gt;0,$M88=""),"Missing: on-order arrival date","OK"))))))))))</f>
        <v/>
      </c>
      <c r="S88" s="78" t="str">
        <f>IF($R88&lt;&gt;"OK","",IF($G88="","",ROUND($G88/IF(OR($H88="",$H88&lt;=0),4,$H88)*4,0)))</f>
        <v/>
      </c>
      <c r="T88" s="78" t="str">
        <f>IF($R88&lt;&gt;"OK","",ROUND(IF($G88="",$F88*4*Setup!$C$19,$G88/IF(OR($H88="",$H88&lt;=0),4,$H88)*4*(1+IF($I88="",Setup!$C$16,$I88)))*IF($J88="",1,$J88),0))</f>
        <v/>
      </c>
      <c r="U88" s="78" t="str">
        <f>IF($R88&lt;&gt;"OK","",ROUND($T88*Setup!$C$17,0))</f>
        <v/>
      </c>
      <c r="V88" s="78" t="str">
        <f>IF($R88&lt;&gt;"OK","",ROUND($T88*Setup!$C$18,0))</f>
        <v/>
      </c>
      <c r="W88" s="78" t="str">
        <f>IF($R88&lt;&gt;"OK","",IF($C88="Evergreen",$V88,IF($C88="Seasonal or new",$U88,$T88)))</f>
        <v/>
      </c>
      <c r="X88" s="78" t="str">
        <f>IF($R88&lt;&gt;"OK","",ROUND(($F88*MAX(0,MIN(Setup!$C$13+1,(Setup!$C$5-Setup!$C$7))-Setup!$C$4)+$F88*Setup!$C$8*MAX(0,MIN(Setup!$C$13+1,Setup!$C$5)-MAX((Setup!$C$5-Setup!$C$7),Setup!$C$4))+$W88/4*MAX(0,MIN(Setup!$C$13+1,Setup!$C$5+4)-MAX(Setup!$C$5,Setup!$C$4))+$F88*Setup!$C$14*MAX(0,Setup!$C$13+1-MAX(Setup!$C$5+4,Setup!$C$4))),0))</f>
        <v/>
      </c>
      <c r="Y88" s="78" t="str">
        <f>IF($R88&lt;&gt;"OK","",ROUND($F88*Setup!$C$15,0))</f>
        <v/>
      </c>
      <c r="Z88" s="78" t="str">
        <f>IF($R88&lt;&gt;"OK","",IF(AND($L88&lt;&gt;"",$L88&gt;0),IF($M88&lt;=Setup!$C$13,$L88,0),0))</f>
        <v/>
      </c>
      <c r="AA88" s="78" t="str">
        <f>IF($R88&lt;&gt;"OK","",MAX(0,$X88+$Y88-$K88-$Z88))</f>
        <v/>
      </c>
      <c r="AB88" s="78" t="str">
        <f>IF($R88&lt;&gt;"OK","",IF($AA88=0,0,CEILING(MAX($AA88,IF($Q88="",0,$Q88)),IF(OR($P88="",$P88&lt;=0),1,$P88))))</f>
        <v/>
      </c>
      <c r="AC88" s="78" t="str">
        <f>IF($R88&lt;&gt;"OK","",$AB88*$D88)</f>
        <v/>
      </c>
      <c r="AD88" s="93" t="str">
        <f>IF($R88&lt;&gt;"OK","",INDEX(Setup!$D$25:$D$29,MATCH($O88,Setup!$B$25:$B$29,0)))</f>
        <v/>
      </c>
      <c r="AE88" s="93" t="str">
        <f>IF($R88&lt;&gt;"OK","",$AD88-$N88)</f>
        <v/>
      </c>
      <c r="AF88" s="79" t="str">
        <f>IF($R88&lt;&gt;"OK","",IF($AB88=0,"No order needed",IF($AE88&gt;=$AS88,"Order by the deadline",IF(AND($O88&lt;&gt;"Domestic",Setup!$D$27-$N88&gt;=$AS88),"Late by this mode: fly it",IF(Setup!$D$28-$N88&gt;=$AS88,"Late: Express courier only",IF($AG88&lt;Setup!$C$5,"Tight: lands before Black Friday",IF(AND($O88&lt;&gt;"Domestic",$AT88&lt;Setup!$C$5),"Tight: by Air lands before Black Friday",IF($AS88+$N88+Setup!$C$28+Setup!$C$11&lt;Setup!$C$5,"Tight: by Express lands before Black Friday","Too late: ration"))))))))</f>
        <v/>
      </c>
      <c r="AG88" s="93" t="str">
        <f>IF($R88&lt;&gt;"OK","",IF($AB88=0,"",$AS88+$N88+INDEX(Setup!$C$25:$C$29,MATCH($O88,Setup!$B$25:$B$29,0))+Setup!$C$11))</f>
        <v/>
      </c>
      <c r="AH88" s="93" t="str">
        <f>IF($R88&lt;&gt;"OK","",IF($F88&lt;=0,"",INT(IF($K88&lt;($F88*MAX(0,(Setup!$C$5-Setup!$C$7)-Setup!$C$4)),Setup!$C$4+$K88/$F88,IF($K88&lt;($F88*MAX(0,(Setup!$C$5-Setup!$C$7)-Setup!$C$4))+($F88*Setup!$C$8*MAX(0,Setup!$C$5-MAX((Setup!$C$5-Setup!$C$7),Setup!$C$4))),MAX((Setup!$C$5-Setup!$C$7),Setup!$C$4)+($K88-($F88*MAX(0,(Setup!$C$5-Setup!$C$7)-Setup!$C$4)))/($F88*Setup!$C$8),IF(AND($W88&gt;0,$K88&lt;($F88*MAX(0,(Setup!$C$5-Setup!$C$7)-Setup!$C$4))+($F88*Setup!$C$8*MAX(0,Setup!$C$5-MAX((Setup!$C$5-Setup!$C$7),Setup!$C$4)))+($W88/4*MAX(0,Setup!$C$5+4-MAX(Setup!$C$5,Setup!$C$4)))),MAX(Setup!$C$5,Setup!$C$4)+($K88-($F88*MAX(0,(Setup!$C$5-Setup!$C$7)-Setup!$C$4))-($F88*Setup!$C$8*MAX(0,Setup!$C$5-MAX((Setup!$C$5-Setup!$C$7),Setup!$C$4))))/($W88/4),MAX(Setup!$C$5+4,Setup!$C$4)+($K88-($F88*MAX(0,(Setup!$C$5-Setup!$C$7)-Setup!$C$4))-($F88*Setup!$C$8*MAX(0,Setup!$C$5-MAX((Setup!$C$5-Setup!$C$7),Setup!$C$4)))-($W88/4*MAX(0,Setup!$C$5+4-MAX(Setup!$C$5,Setup!$C$4))))/($F88*Setup!$C$14)))))))</f>
        <v/>
      </c>
      <c r="AI88" s="79" t="str">
        <f>IF($R88&lt;&gt;"OK","",IF(AND($L88&lt;&gt;"",$L88&gt;0,ISNUMBER($AH88),$M88&gt;$AH88),"Runs out before the incoming delivery arrives",IF($AB88=0,"OK",IF($K88+IF(AND($L88&lt;&gt;"",$L88&gt;0),IF($M88&lt;=$AG88,$L88,0),0)&lt;($F88*MAX(0,MIN($AG88,(Setup!$C$5-Setup!$C$7))-Setup!$C$4)+$F88*Setup!$C$8*MAX(0,MIN($AG88,Setup!$C$5)-MAX((Setup!$C$5-Setup!$C$7),Setup!$C$4))+$W88/4*MAX(0,MIN($AG88,Setup!$C$5+4)-MAX(Setup!$C$5,Setup!$C$4))+$F88*Setup!$C$14*MAX(0,$AG88-MAX(Setup!$C$5+4,Setup!$C$4))),"Runs out before this order can land","OK"))))</f>
        <v/>
      </c>
      <c r="AJ88" s="78" t="str">
        <f>IF($R88&lt;&gt;"OK","",IF($AB88=0,0,IF($AL88="Too slow: send it all fast",$AB88,$AR88)))</f>
        <v/>
      </c>
      <c r="AK88" s="78" t="str">
        <f>IF($R88&lt;&gt;"OK","",$AB88-$AJ88)</f>
        <v/>
      </c>
      <c r="AL88" s="78" t="str">
        <f>IF($R88&lt;&gt;"OK","",IF($AB88=0,"",IF($AB88-$AR88=0,"Nothing left over",IF($O88="Domestic",IF($AG88&lt;=Setup!$C$6+Setup!$C$20+1,"Later units can go by Domestic","Too slow: send it all fast"),IF($AS88+$N88+Setup!$C$25+Setup!$C$11&lt;=Setup!$C$6+Setup!$C$20+1,"Later units can go by Ocean long",IF($AS88+$N88+Setup!$C$26+Setup!$C$11&lt;=Setup!$C$6+Setup!$C$20+1,"Later units can go by Ocean short",IF($AS88+$N88+Setup!$C$27+Setup!$C$11&lt;=Setup!$C$6+Setup!$C$20+1,"Later units can go by Air",IF($AS88+$N88+Setup!$C$28+Setup!$C$11&lt;=Setup!$C$6+Setup!$C$20+1,"Later units can go by Express","Too slow: send it all fast"))))))))</f>
        <v/>
      </c>
      <c r="AM88" s="94" t="str">
        <f>IF($R88&lt;&gt;"OK","",$E88-$D88)</f>
        <v/>
      </c>
      <c r="AN88" s="95" t="str">
        <f>IF($R88&lt;&gt;"OK","",($E88-$D88)/$D88)</f>
        <v/>
      </c>
      <c r="AO88" s="95" t="str">
        <f>IF($R88&lt;&gt;"OK","",IF($AB88&gt;0,$AN88+IF($C88="Evergreen",1000,0),""))</f>
        <v/>
      </c>
      <c r="AP88" s="78" t="str">
        <f>IF(OR($R88&lt;&gt;"OK",$AO88=""),"",COUNTIF($AO$6:$AO$205,"&gt;"&amp;$AO88)+COUNTIF($AO$6:$AO88,$AO88))</f>
        <v/>
      </c>
      <c r="AQ88" s="78" t="str">
        <f>IF(OR($R88&lt;&gt;"OK",$AP88=""),"",INDEX('Buy list'!$G$5:$G$204,$AP88))</f>
        <v/>
      </c>
      <c r="AR88" s="78" t="str">
        <f>IF($R88&lt;&gt;"OK","",IF($AB88=0,0,MIN($AB88,CEILING(MAX(0,($F88*MAX(0,MIN((Setup!$C$6+1+Setup!$C$20),(Setup!$C$5-Setup!$C$7))-Setup!$C$4)+$F88*Setup!$C$8*MAX(0,MIN((Setup!$C$6+1+Setup!$C$20),Setup!$C$5)-MAX((Setup!$C$5-Setup!$C$7),Setup!$C$4))+$W88/4*MAX(0,MIN((Setup!$C$6+1+Setup!$C$20),Setup!$C$5+4)-MAX(Setup!$C$5,Setup!$C$4))+$F88*Setup!$C$14*MAX(0,(Setup!$C$6+1+Setup!$C$20)-MAX(Setup!$C$5+4,Setup!$C$4)))+$Y88-$K88-IF(AND($L88&lt;&gt;"",$L88&gt;0),IF($M88&lt;=Setup!$C$10,$L88,0),0)),IF(OR($P88="",$P88&lt;=0),1,$P88)))))</f>
        <v/>
      </c>
      <c r="AS88" s="96" t="str">
        <f>IF($R88&lt;&gt;"OK","",IF(AND($O88&lt;&gt;"Domestic",ISNUMBER(Setup!$C$22),Setup!$C$22&gt;Setup!$C$4),Setup!$C$22,Setup!$C$4))</f>
        <v/>
      </c>
      <c r="AT88" s="96" t="str">
        <f>IF($R88&lt;&gt;"OK","",IF($AB88=0,"",IF($O88="Domestic",$AG88,$AS88+$N88+Setup!$C$27+Setup!$C$11)))</f>
        <v/>
      </c>
    </row>
    <row r="89" ht="15" customHeight="1" s="46">
      <c r="A89" s="70" t="n"/>
      <c r="B89" s="70" t="n"/>
      <c r="C89" s="70" t="n"/>
      <c r="D89" s="85" t="n"/>
      <c r="E89" s="85" t="n"/>
      <c r="F89" s="86" t="n"/>
      <c r="G89" s="87" t="n"/>
      <c r="H89" s="88" t="n"/>
      <c r="I89" s="89" t="n"/>
      <c r="J89" s="90" t="n"/>
      <c r="K89" s="87" t="n"/>
      <c r="L89" s="87" t="n"/>
      <c r="M89" s="91" t="n"/>
      <c r="N89" s="92" t="n"/>
      <c r="O89" s="70" t="n"/>
      <c r="P89" s="92" t="n"/>
      <c r="Q89" s="87" t="n"/>
      <c r="R89" s="79" t="str">
        <f>IF($A89="","",IF($C89="","Missing: type",IF(OR($D89="",$D89&lt;=0),"Missing: unit cost",IF($E89="","Missing: unit price",IF($F89="","Missing: daily sales",IF($K89="","Missing: on hand",IF($N89="","Missing: production days",IF($O89="","Missing: freight mode",IF(ISNA(MATCH($O89,Setup!$B$25:$B$29,0)),"Unknown freight mode",IF(AND($L89&lt;&gt;"",$L89&gt;0,$M89=""),"Missing: on-order arrival date","OK"))))))))))</f>
        <v/>
      </c>
      <c r="S89" s="78" t="str">
        <f>IF($R89&lt;&gt;"OK","",IF($G89="","",ROUND($G89/IF(OR($H89="",$H89&lt;=0),4,$H89)*4,0)))</f>
        <v/>
      </c>
      <c r="T89" s="78" t="str">
        <f>IF($R89&lt;&gt;"OK","",ROUND(IF($G89="",$F89*4*Setup!$C$19,$G89/IF(OR($H89="",$H89&lt;=0),4,$H89)*4*(1+IF($I89="",Setup!$C$16,$I89)))*IF($J89="",1,$J89),0))</f>
        <v/>
      </c>
      <c r="U89" s="78" t="str">
        <f>IF($R89&lt;&gt;"OK","",ROUND($T89*Setup!$C$17,0))</f>
        <v/>
      </c>
      <c r="V89" s="78" t="str">
        <f>IF($R89&lt;&gt;"OK","",ROUND($T89*Setup!$C$18,0))</f>
        <v/>
      </c>
      <c r="W89" s="78" t="str">
        <f>IF($R89&lt;&gt;"OK","",IF($C89="Evergreen",$V89,IF($C89="Seasonal or new",$U89,$T89)))</f>
        <v/>
      </c>
      <c r="X89" s="78" t="str">
        <f>IF($R89&lt;&gt;"OK","",ROUND(($F89*MAX(0,MIN(Setup!$C$13+1,(Setup!$C$5-Setup!$C$7))-Setup!$C$4)+$F89*Setup!$C$8*MAX(0,MIN(Setup!$C$13+1,Setup!$C$5)-MAX((Setup!$C$5-Setup!$C$7),Setup!$C$4))+$W89/4*MAX(0,MIN(Setup!$C$13+1,Setup!$C$5+4)-MAX(Setup!$C$5,Setup!$C$4))+$F89*Setup!$C$14*MAX(0,Setup!$C$13+1-MAX(Setup!$C$5+4,Setup!$C$4))),0))</f>
        <v/>
      </c>
      <c r="Y89" s="78" t="str">
        <f>IF($R89&lt;&gt;"OK","",ROUND($F89*Setup!$C$15,0))</f>
        <v/>
      </c>
      <c r="Z89" s="78" t="str">
        <f>IF($R89&lt;&gt;"OK","",IF(AND($L89&lt;&gt;"",$L89&gt;0),IF($M89&lt;=Setup!$C$13,$L89,0),0))</f>
        <v/>
      </c>
      <c r="AA89" s="78" t="str">
        <f>IF($R89&lt;&gt;"OK","",MAX(0,$X89+$Y89-$K89-$Z89))</f>
        <v/>
      </c>
      <c r="AB89" s="78" t="str">
        <f>IF($R89&lt;&gt;"OK","",IF($AA89=0,0,CEILING(MAX($AA89,IF($Q89="",0,$Q89)),IF(OR($P89="",$P89&lt;=0),1,$P89))))</f>
        <v/>
      </c>
      <c r="AC89" s="78" t="str">
        <f>IF($R89&lt;&gt;"OK","",$AB89*$D89)</f>
        <v/>
      </c>
      <c r="AD89" s="93" t="str">
        <f>IF($R89&lt;&gt;"OK","",INDEX(Setup!$D$25:$D$29,MATCH($O89,Setup!$B$25:$B$29,0)))</f>
        <v/>
      </c>
      <c r="AE89" s="93" t="str">
        <f>IF($R89&lt;&gt;"OK","",$AD89-$N89)</f>
        <v/>
      </c>
      <c r="AF89" s="79" t="str">
        <f>IF($R89&lt;&gt;"OK","",IF($AB89=0,"No order needed",IF($AE89&gt;=$AS89,"Order by the deadline",IF(AND($O89&lt;&gt;"Domestic",Setup!$D$27-$N89&gt;=$AS89),"Late by this mode: fly it",IF(Setup!$D$28-$N89&gt;=$AS89,"Late: Express courier only",IF($AG89&lt;Setup!$C$5,"Tight: lands before Black Friday",IF(AND($O89&lt;&gt;"Domestic",$AT89&lt;Setup!$C$5),"Tight: by Air lands before Black Friday",IF($AS89+$N89+Setup!$C$28+Setup!$C$11&lt;Setup!$C$5,"Tight: by Express lands before Black Friday","Too late: ration"))))))))</f>
        <v/>
      </c>
      <c r="AG89" s="93" t="str">
        <f>IF($R89&lt;&gt;"OK","",IF($AB89=0,"",$AS89+$N89+INDEX(Setup!$C$25:$C$29,MATCH($O89,Setup!$B$25:$B$29,0))+Setup!$C$11))</f>
        <v/>
      </c>
      <c r="AH89" s="93" t="str">
        <f>IF($R89&lt;&gt;"OK","",IF($F89&lt;=0,"",INT(IF($K89&lt;($F89*MAX(0,(Setup!$C$5-Setup!$C$7)-Setup!$C$4)),Setup!$C$4+$K89/$F89,IF($K89&lt;($F89*MAX(0,(Setup!$C$5-Setup!$C$7)-Setup!$C$4))+($F89*Setup!$C$8*MAX(0,Setup!$C$5-MAX((Setup!$C$5-Setup!$C$7),Setup!$C$4))),MAX((Setup!$C$5-Setup!$C$7),Setup!$C$4)+($K89-($F89*MAX(0,(Setup!$C$5-Setup!$C$7)-Setup!$C$4)))/($F89*Setup!$C$8),IF(AND($W89&gt;0,$K89&lt;($F89*MAX(0,(Setup!$C$5-Setup!$C$7)-Setup!$C$4))+($F89*Setup!$C$8*MAX(0,Setup!$C$5-MAX((Setup!$C$5-Setup!$C$7),Setup!$C$4)))+($W89/4*MAX(0,Setup!$C$5+4-MAX(Setup!$C$5,Setup!$C$4)))),MAX(Setup!$C$5,Setup!$C$4)+($K89-($F89*MAX(0,(Setup!$C$5-Setup!$C$7)-Setup!$C$4))-($F89*Setup!$C$8*MAX(0,Setup!$C$5-MAX((Setup!$C$5-Setup!$C$7),Setup!$C$4))))/($W89/4),MAX(Setup!$C$5+4,Setup!$C$4)+($K89-($F89*MAX(0,(Setup!$C$5-Setup!$C$7)-Setup!$C$4))-($F89*Setup!$C$8*MAX(0,Setup!$C$5-MAX((Setup!$C$5-Setup!$C$7),Setup!$C$4)))-($W89/4*MAX(0,Setup!$C$5+4-MAX(Setup!$C$5,Setup!$C$4))))/($F89*Setup!$C$14)))))))</f>
        <v/>
      </c>
      <c r="AI89" s="79" t="str">
        <f>IF($R89&lt;&gt;"OK","",IF(AND($L89&lt;&gt;"",$L89&gt;0,ISNUMBER($AH89),$M89&gt;$AH89),"Runs out before the incoming delivery arrives",IF($AB89=0,"OK",IF($K89+IF(AND($L89&lt;&gt;"",$L89&gt;0),IF($M89&lt;=$AG89,$L89,0),0)&lt;($F89*MAX(0,MIN($AG89,(Setup!$C$5-Setup!$C$7))-Setup!$C$4)+$F89*Setup!$C$8*MAX(0,MIN($AG89,Setup!$C$5)-MAX((Setup!$C$5-Setup!$C$7),Setup!$C$4))+$W89/4*MAX(0,MIN($AG89,Setup!$C$5+4)-MAX(Setup!$C$5,Setup!$C$4))+$F89*Setup!$C$14*MAX(0,$AG89-MAX(Setup!$C$5+4,Setup!$C$4))),"Runs out before this order can land","OK"))))</f>
        <v/>
      </c>
      <c r="AJ89" s="78" t="str">
        <f>IF($R89&lt;&gt;"OK","",IF($AB89=0,0,IF($AL89="Too slow: send it all fast",$AB89,$AR89)))</f>
        <v/>
      </c>
      <c r="AK89" s="78" t="str">
        <f>IF($R89&lt;&gt;"OK","",$AB89-$AJ89)</f>
        <v/>
      </c>
      <c r="AL89" s="78" t="str">
        <f>IF($R89&lt;&gt;"OK","",IF($AB89=0,"",IF($AB89-$AR89=0,"Nothing left over",IF($O89="Domestic",IF($AG89&lt;=Setup!$C$6+Setup!$C$20+1,"Later units can go by Domestic","Too slow: send it all fast"),IF($AS89+$N89+Setup!$C$25+Setup!$C$11&lt;=Setup!$C$6+Setup!$C$20+1,"Later units can go by Ocean long",IF($AS89+$N89+Setup!$C$26+Setup!$C$11&lt;=Setup!$C$6+Setup!$C$20+1,"Later units can go by Ocean short",IF($AS89+$N89+Setup!$C$27+Setup!$C$11&lt;=Setup!$C$6+Setup!$C$20+1,"Later units can go by Air",IF($AS89+$N89+Setup!$C$28+Setup!$C$11&lt;=Setup!$C$6+Setup!$C$20+1,"Later units can go by Express","Too slow: send it all fast"))))))))</f>
        <v/>
      </c>
      <c r="AM89" s="94" t="str">
        <f>IF($R89&lt;&gt;"OK","",$E89-$D89)</f>
        <v/>
      </c>
      <c r="AN89" s="95" t="str">
        <f>IF($R89&lt;&gt;"OK","",($E89-$D89)/$D89)</f>
        <v/>
      </c>
      <c r="AO89" s="95" t="str">
        <f>IF($R89&lt;&gt;"OK","",IF($AB89&gt;0,$AN89+IF($C89="Evergreen",1000,0),""))</f>
        <v/>
      </c>
      <c r="AP89" s="78" t="str">
        <f>IF(OR($R89&lt;&gt;"OK",$AO89=""),"",COUNTIF($AO$6:$AO$205,"&gt;"&amp;$AO89)+COUNTIF($AO$6:$AO89,$AO89))</f>
        <v/>
      </c>
      <c r="AQ89" s="78" t="str">
        <f>IF(OR($R89&lt;&gt;"OK",$AP89=""),"",INDEX('Buy list'!$G$5:$G$204,$AP89))</f>
        <v/>
      </c>
      <c r="AR89" s="78" t="str">
        <f>IF($R89&lt;&gt;"OK","",IF($AB89=0,0,MIN($AB89,CEILING(MAX(0,($F89*MAX(0,MIN((Setup!$C$6+1+Setup!$C$20),(Setup!$C$5-Setup!$C$7))-Setup!$C$4)+$F89*Setup!$C$8*MAX(0,MIN((Setup!$C$6+1+Setup!$C$20),Setup!$C$5)-MAX((Setup!$C$5-Setup!$C$7),Setup!$C$4))+$W89/4*MAX(0,MIN((Setup!$C$6+1+Setup!$C$20),Setup!$C$5+4)-MAX(Setup!$C$5,Setup!$C$4))+$F89*Setup!$C$14*MAX(0,(Setup!$C$6+1+Setup!$C$20)-MAX(Setup!$C$5+4,Setup!$C$4)))+$Y89-$K89-IF(AND($L89&lt;&gt;"",$L89&gt;0),IF($M89&lt;=Setup!$C$10,$L89,0),0)),IF(OR($P89="",$P89&lt;=0),1,$P89)))))</f>
        <v/>
      </c>
      <c r="AS89" s="96" t="str">
        <f>IF($R89&lt;&gt;"OK","",IF(AND($O89&lt;&gt;"Domestic",ISNUMBER(Setup!$C$22),Setup!$C$22&gt;Setup!$C$4),Setup!$C$22,Setup!$C$4))</f>
        <v/>
      </c>
      <c r="AT89" s="96" t="str">
        <f>IF($R89&lt;&gt;"OK","",IF($AB89=0,"",IF($O89="Domestic",$AG89,$AS89+$N89+Setup!$C$27+Setup!$C$11)))</f>
        <v/>
      </c>
    </row>
    <row r="90" ht="15" customHeight="1" s="46">
      <c r="A90" s="70" t="n"/>
      <c r="B90" s="70" t="n"/>
      <c r="C90" s="70" t="n"/>
      <c r="D90" s="85" t="n"/>
      <c r="E90" s="85" t="n"/>
      <c r="F90" s="86" t="n"/>
      <c r="G90" s="87" t="n"/>
      <c r="H90" s="88" t="n"/>
      <c r="I90" s="89" t="n"/>
      <c r="J90" s="90" t="n"/>
      <c r="K90" s="87" t="n"/>
      <c r="L90" s="87" t="n"/>
      <c r="M90" s="91" t="n"/>
      <c r="N90" s="92" t="n"/>
      <c r="O90" s="70" t="n"/>
      <c r="P90" s="92" t="n"/>
      <c r="Q90" s="87" t="n"/>
      <c r="R90" s="79" t="str">
        <f>IF($A90="","",IF($C90="","Missing: type",IF(OR($D90="",$D90&lt;=0),"Missing: unit cost",IF($E90="","Missing: unit price",IF($F90="","Missing: daily sales",IF($K90="","Missing: on hand",IF($N90="","Missing: production days",IF($O90="","Missing: freight mode",IF(ISNA(MATCH($O90,Setup!$B$25:$B$29,0)),"Unknown freight mode",IF(AND($L90&lt;&gt;"",$L90&gt;0,$M90=""),"Missing: on-order arrival date","OK"))))))))))</f>
        <v/>
      </c>
      <c r="S90" s="78" t="str">
        <f>IF($R90&lt;&gt;"OK","",IF($G90="","",ROUND($G90/IF(OR($H90="",$H90&lt;=0),4,$H90)*4,0)))</f>
        <v/>
      </c>
      <c r="T90" s="78" t="str">
        <f>IF($R90&lt;&gt;"OK","",ROUND(IF($G90="",$F90*4*Setup!$C$19,$G90/IF(OR($H90="",$H90&lt;=0),4,$H90)*4*(1+IF($I90="",Setup!$C$16,$I90)))*IF($J90="",1,$J90),0))</f>
        <v/>
      </c>
      <c r="U90" s="78" t="str">
        <f>IF($R90&lt;&gt;"OK","",ROUND($T90*Setup!$C$17,0))</f>
        <v/>
      </c>
      <c r="V90" s="78" t="str">
        <f>IF($R90&lt;&gt;"OK","",ROUND($T90*Setup!$C$18,0))</f>
        <v/>
      </c>
      <c r="W90" s="78" t="str">
        <f>IF($R90&lt;&gt;"OK","",IF($C90="Evergreen",$V90,IF($C90="Seasonal or new",$U90,$T90)))</f>
        <v/>
      </c>
      <c r="X90" s="78" t="str">
        <f>IF($R90&lt;&gt;"OK","",ROUND(($F90*MAX(0,MIN(Setup!$C$13+1,(Setup!$C$5-Setup!$C$7))-Setup!$C$4)+$F90*Setup!$C$8*MAX(0,MIN(Setup!$C$13+1,Setup!$C$5)-MAX((Setup!$C$5-Setup!$C$7),Setup!$C$4))+$W90/4*MAX(0,MIN(Setup!$C$13+1,Setup!$C$5+4)-MAX(Setup!$C$5,Setup!$C$4))+$F90*Setup!$C$14*MAX(0,Setup!$C$13+1-MAX(Setup!$C$5+4,Setup!$C$4))),0))</f>
        <v/>
      </c>
      <c r="Y90" s="78" t="str">
        <f>IF($R90&lt;&gt;"OK","",ROUND($F90*Setup!$C$15,0))</f>
        <v/>
      </c>
      <c r="Z90" s="78" t="str">
        <f>IF($R90&lt;&gt;"OK","",IF(AND($L90&lt;&gt;"",$L90&gt;0),IF($M90&lt;=Setup!$C$13,$L90,0),0))</f>
        <v/>
      </c>
      <c r="AA90" s="78" t="str">
        <f>IF($R90&lt;&gt;"OK","",MAX(0,$X90+$Y90-$K90-$Z90))</f>
        <v/>
      </c>
      <c r="AB90" s="78" t="str">
        <f>IF($R90&lt;&gt;"OK","",IF($AA90=0,0,CEILING(MAX($AA90,IF($Q90="",0,$Q90)),IF(OR($P90="",$P90&lt;=0),1,$P90))))</f>
        <v/>
      </c>
      <c r="AC90" s="78" t="str">
        <f>IF($R90&lt;&gt;"OK","",$AB90*$D90)</f>
        <v/>
      </c>
      <c r="AD90" s="93" t="str">
        <f>IF($R90&lt;&gt;"OK","",INDEX(Setup!$D$25:$D$29,MATCH($O90,Setup!$B$25:$B$29,0)))</f>
        <v/>
      </c>
      <c r="AE90" s="93" t="str">
        <f>IF($R90&lt;&gt;"OK","",$AD90-$N90)</f>
        <v/>
      </c>
      <c r="AF90" s="79" t="str">
        <f>IF($R90&lt;&gt;"OK","",IF($AB90=0,"No order needed",IF($AE90&gt;=$AS90,"Order by the deadline",IF(AND($O90&lt;&gt;"Domestic",Setup!$D$27-$N90&gt;=$AS90),"Late by this mode: fly it",IF(Setup!$D$28-$N90&gt;=$AS90,"Late: Express courier only",IF($AG90&lt;Setup!$C$5,"Tight: lands before Black Friday",IF(AND($O90&lt;&gt;"Domestic",$AT90&lt;Setup!$C$5),"Tight: by Air lands before Black Friday",IF($AS90+$N90+Setup!$C$28+Setup!$C$11&lt;Setup!$C$5,"Tight: by Express lands before Black Friday","Too late: ration"))))))))</f>
        <v/>
      </c>
      <c r="AG90" s="93" t="str">
        <f>IF($R90&lt;&gt;"OK","",IF($AB90=0,"",$AS90+$N90+INDEX(Setup!$C$25:$C$29,MATCH($O90,Setup!$B$25:$B$29,0))+Setup!$C$11))</f>
        <v/>
      </c>
      <c r="AH90" s="93" t="str">
        <f>IF($R90&lt;&gt;"OK","",IF($F90&lt;=0,"",INT(IF($K90&lt;($F90*MAX(0,(Setup!$C$5-Setup!$C$7)-Setup!$C$4)),Setup!$C$4+$K90/$F90,IF($K90&lt;($F90*MAX(0,(Setup!$C$5-Setup!$C$7)-Setup!$C$4))+($F90*Setup!$C$8*MAX(0,Setup!$C$5-MAX((Setup!$C$5-Setup!$C$7),Setup!$C$4))),MAX((Setup!$C$5-Setup!$C$7),Setup!$C$4)+($K90-($F90*MAX(0,(Setup!$C$5-Setup!$C$7)-Setup!$C$4)))/($F90*Setup!$C$8),IF(AND($W90&gt;0,$K90&lt;($F90*MAX(0,(Setup!$C$5-Setup!$C$7)-Setup!$C$4))+($F90*Setup!$C$8*MAX(0,Setup!$C$5-MAX((Setup!$C$5-Setup!$C$7),Setup!$C$4)))+($W90/4*MAX(0,Setup!$C$5+4-MAX(Setup!$C$5,Setup!$C$4)))),MAX(Setup!$C$5,Setup!$C$4)+($K90-($F90*MAX(0,(Setup!$C$5-Setup!$C$7)-Setup!$C$4))-($F90*Setup!$C$8*MAX(0,Setup!$C$5-MAX((Setup!$C$5-Setup!$C$7),Setup!$C$4))))/($W90/4),MAX(Setup!$C$5+4,Setup!$C$4)+($K90-($F90*MAX(0,(Setup!$C$5-Setup!$C$7)-Setup!$C$4))-($F90*Setup!$C$8*MAX(0,Setup!$C$5-MAX((Setup!$C$5-Setup!$C$7),Setup!$C$4)))-($W90/4*MAX(0,Setup!$C$5+4-MAX(Setup!$C$5,Setup!$C$4))))/($F90*Setup!$C$14)))))))</f>
        <v/>
      </c>
      <c r="AI90" s="79" t="str">
        <f>IF($R90&lt;&gt;"OK","",IF(AND($L90&lt;&gt;"",$L90&gt;0,ISNUMBER($AH90),$M90&gt;$AH90),"Runs out before the incoming delivery arrives",IF($AB90=0,"OK",IF($K90+IF(AND($L90&lt;&gt;"",$L90&gt;0),IF($M90&lt;=$AG90,$L90,0),0)&lt;($F90*MAX(0,MIN($AG90,(Setup!$C$5-Setup!$C$7))-Setup!$C$4)+$F90*Setup!$C$8*MAX(0,MIN($AG90,Setup!$C$5)-MAX((Setup!$C$5-Setup!$C$7),Setup!$C$4))+$W90/4*MAX(0,MIN($AG90,Setup!$C$5+4)-MAX(Setup!$C$5,Setup!$C$4))+$F90*Setup!$C$14*MAX(0,$AG90-MAX(Setup!$C$5+4,Setup!$C$4))),"Runs out before this order can land","OK"))))</f>
        <v/>
      </c>
      <c r="AJ90" s="78" t="str">
        <f>IF($R90&lt;&gt;"OK","",IF($AB90=0,0,IF($AL90="Too slow: send it all fast",$AB90,$AR90)))</f>
        <v/>
      </c>
      <c r="AK90" s="78" t="str">
        <f>IF($R90&lt;&gt;"OK","",$AB90-$AJ90)</f>
        <v/>
      </c>
      <c r="AL90" s="78" t="str">
        <f>IF($R90&lt;&gt;"OK","",IF($AB90=0,"",IF($AB90-$AR90=0,"Nothing left over",IF($O90="Domestic",IF($AG90&lt;=Setup!$C$6+Setup!$C$20+1,"Later units can go by Domestic","Too slow: send it all fast"),IF($AS90+$N90+Setup!$C$25+Setup!$C$11&lt;=Setup!$C$6+Setup!$C$20+1,"Later units can go by Ocean long",IF($AS90+$N90+Setup!$C$26+Setup!$C$11&lt;=Setup!$C$6+Setup!$C$20+1,"Later units can go by Ocean short",IF($AS90+$N90+Setup!$C$27+Setup!$C$11&lt;=Setup!$C$6+Setup!$C$20+1,"Later units can go by Air",IF($AS90+$N90+Setup!$C$28+Setup!$C$11&lt;=Setup!$C$6+Setup!$C$20+1,"Later units can go by Express","Too slow: send it all fast"))))))))</f>
        <v/>
      </c>
      <c r="AM90" s="94" t="str">
        <f>IF($R90&lt;&gt;"OK","",$E90-$D90)</f>
        <v/>
      </c>
      <c r="AN90" s="95" t="str">
        <f>IF($R90&lt;&gt;"OK","",($E90-$D90)/$D90)</f>
        <v/>
      </c>
      <c r="AO90" s="95" t="str">
        <f>IF($R90&lt;&gt;"OK","",IF($AB90&gt;0,$AN90+IF($C90="Evergreen",1000,0),""))</f>
        <v/>
      </c>
      <c r="AP90" s="78" t="str">
        <f>IF(OR($R90&lt;&gt;"OK",$AO90=""),"",COUNTIF($AO$6:$AO$205,"&gt;"&amp;$AO90)+COUNTIF($AO$6:$AO90,$AO90))</f>
        <v/>
      </c>
      <c r="AQ90" s="78" t="str">
        <f>IF(OR($R90&lt;&gt;"OK",$AP90=""),"",INDEX('Buy list'!$G$5:$G$204,$AP90))</f>
        <v/>
      </c>
      <c r="AR90" s="78" t="str">
        <f>IF($R90&lt;&gt;"OK","",IF($AB90=0,0,MIN($AB90,CEILING(MAX(0,($F90*MAX(0,MIN((Setup!$C$6+1+Setup!$C$20),(Setup!$C$5-Setup!$C$7))-Setup!$C$4)+$F90*Setup!$C$8*MAX(0,MIN((Setup!$C$6+1+Setup!$C$20),Setup!$C$5)-MAX((Setup!$C$5-Setup!$C$7),Setup!$C$4))+$W90/4*MAX(0,MIN((Setup!$C$6+1+Setup!$C$20),Setup!$C$5+4)-MAX(Setup!$C$5,Setup!$C$4))+$F90*Setup!$C$14*MAX(0,(Setup!$C$6+1+Setup!$C$20)-MAX(Setup!$C$5+4,Setup!$C$4)))+$Y90-$K90-IF(AND($L90&lt;&gt;"",$L90&gt;0),IF($M90&lt;=Setup!$C$10,$L90,0),0)),IF(OR($P90="",$P90&lt;=0),1,$P90)))))</f>
        <v/>
      </c>
      <c r="AS90" s="96" t="str">
        <f>IF($R90&lt;&gt;"OK","",IF(AND($O90&lt;&gt;"Domestic",ISNUMBER(Setup!$C$22),Setup!$C$22&gt;Setup!$C$4),Setup!$C$22,Setup!$C$4))</f>
        <v/>
      </c>
      <c r="AT90" s="96" t="str">
        <f>IF($R90&lt;&gt;"OK","",IF($AB90=0,"",IF($O90="Domestic",$AG90,$AS90+$N90+Setup!$C$27+Setup!$C$11)))</f>
        <v/>
      </c>
    </row>
    <row r="91" ht="15" customHeight="1" s="46">
      <c r="A91" s="70" t="n"/>
      <c r="B91" s="70" t="n"/>
      <c r="C91" s="70" t="n"/>
      <c r="D91" s="85" t="n"/>
      <c r="E91" s="85" t="n"/>
      <c r="F91" s="86" t="n"/>
      <c r="G91" s="87" t="n"/>
      <c r="H91" s="88" t="n"/>
      <c r="I91" s="89" t="n"/>
      <c r="J91" s="90" t="n"/>
      <c r="K91" s="87" t="n"/>
      <c r="L91" s="87" t="n"/>
      <c r="M91" s="91" t="n"/>
      <c r="N91" s="92" t="n"/>
      <c r="O91" s="70" t="n"/>
      <c r="P91" s="92" t="n"/>
      <c r="Q91" s="87" t="n"/>
      <c r="R91" s="79" t="str">
        <f>IF($A91="","",IF($C91="","Missing: type",IF(OR($D91="",$D91&lt;=0),"Missing: unit cost",IF($E91="","Missing: unit price",IF($F91="","Missing: daily sales",IF($K91="","Missing: on hand",IF($N91="","Missing: production days",IF($O91="","Missing: freight mode",IF(ISNA(MATCH($O91,Setup!$B$25:$B$29,0)),"Unknown freight mode",IF(AND($L91&lt;&gt;"",$L91&gt;0,$M91=""),"Missing: on-order arrival date","OK"))))))))))</f>
        <v/>
      </c>
      <c r="S91" s="78" t="str">
        <f>IF($R91&lt;&gt;"OK","",IF($G91="","",ROUND($G91/IF(OR($H91="",$H91&lt;=0),4,$H91)*4,0)))</f>
        <v/>
      </c>
      <c r="T91" s="78" t="str">
        <f>IF($R91&lt;&gt;"OK","",ROUND(IF($G91="",$F91*4*Setup!$C$19,$G91/IF(OR($H91="",$H91&lt;=0),4,$H91)*4*(1+IF($I91="",Setup!$C$16,$I91)))*IF($J91="",1,$J91),0))</f>
        <v/>
      </c>
      <c r="U91" s="78" t="str">
        <f>IF($R91&lt;&gt;"OK","",ROUND($T91*Setup!$C$17,0))</f>
        <v/>
      </c>
      <c r="V91" s="78" t="str">
        <f>IF($R91&lt;&gt;"OK","",ROUND($T91*Setup!$C$18,0))</f>
        <v/>
      </c>
      <c r="W91" s="78" t="str">
        <f>IF($R91&lt;&gt;"OK","",IF($C91="Evergreen",$V91,IF($C91="Seasonal or new",$U91,$T91)))</f>
        <v/>
      </c>
      <c r="X91" s="78" t="str">
        <f>IF($R91&lt;&gt;"OK","",ROUND(($F91*MAX(0,MIN(Setup!$C$13+1,(Setup!$C$5-Setup!$C$7))-Setup!$C$4)+$F91*Setup!$C$8*MAX(0,MIN(Setup!$C$13+1,Setup!$C$5)-MAX((Setup!$C$5-Setup!$C$7),Setup!$C$4))+$W91/4*MAX(0,MIN(Setup!$C$13+1,Setup!$C$5+4)-MAX(Setup!$C$5,Setup!$C$4))+$F91*Setup!$C$14*MAX(0,Setup!$C$13+1-MAX(Setup!$C$5+4,Setup!$C$4))),0))</f>
        <v/>
      </c>
      <c r="Y91" s="78" t="str">
        <f>IF($R91&lt;&gt;"OK","",ROUND($F91*Setup!$C$15,0))</f>
        <v/>
      </c>
      <c r="Z91" s="78" t="str">
        <f>IF($R91&lt;&gt;"OK","",IF(AND($L91&lt;&gt;"",$L91&gt;0),IF($M91&lt;=Setup!$C$13,$L91,0),0))</f>
        <v/>
      </c>
      <c r="AA91" s="78" t="str">
        <f>IF($R91&lt;&gt;"OK","",MAX(0,$X91+$Y91-$K91-$Z91))</f>
        <v/>
      </c>
      <c r="AB91" s="78" t="str">
        <f>IF($R91&lt;&gt;"OK","",IF($AA91=0,0,CEILING(MAX($AA91,IF($Q91="",0,$Q91)),IF(OR($P91="",$P91&lt;=0),1,$P91))))</f>
        <v/>
      </c>
      <c r="AC91" s="78" t="str">
        <f>IF($R91&lt;&gt;"OK","",$AB91*$D91)</f>
        <v/>
      </c>
      <c r="AD91" s="93" t="str">
        <f>IF($R91&lt;&gt;"OK","",INDEX(Setup!$D$25:$D$29,MATCH($O91,Setup!$B$25:$B$29,0)))</f>
        <v/>
      </c>
      <c r="AE91" s="93" t="str">
        <f>IF($R91&lt;&gt;"OK","",$AD91-$N91)</f>
        <v/>
      </c>
      <c r="AF91" s="79" t="str">
        <f>IF($R91&lt;&gt;"OK","",IF($AB91=0,"No order needed",IF($AE91&gt;=$AS91,"Order by the deadline",IF(AND($O91&lt;&gt;"Domestic",Setup!$D$27-$N91&gt;=$AS91),"Late by this mode: fly it",IF(Setup!$D$28-$N91&gt;=$AS91,"Late: Express courier only",IF($AG91&lt;Setup!$C$5,"Tight: lands before Black Friday",IF(AND($O91&lt;&gt;"Domestic",$AT91&lt;Setup!$C$5),"Tight: by Air lands before Black Friday",IF($AS91+$N91+Setup!$C$28+Setup!$C$11&lt;Setup!$C$5,"Tight: by Express lands before Black Friday","Too late: ration"))))))))</f>
        <v/>
      </c>
      <c r="AG91" s="93" t="str">
        <f>IF($R91&lt;&gt;"OK","",IF($AB91=0,"",$AS91+$N91+INDEX(Setup!$C$25:$C$29,MATCH($O91,Setup!$B$25:$B$29,0))+Setup!$C$11))</f>
        <v/>
      </c>
      <c r="AH91" s="93" t="str">
        <f>IF($R91&lt;&gt;"OK","",IF($F91&lt;=0,"",INT(IF($K91&lt;($F91*MAX(0,(Setup!$C$5-Setup!$C$7)-Setup!$C$4)),Setup!$C$4+$K91/$F91,IF($K91&lt;($F91*MAX(0,(Setup!$C$5-Setup!$C$7)-Setup!$C$4))+($F91*Setup!$C$8*MAX(0,Setup!$C$5-MAX((Setup!$C$5-Setup!$C$7),Setup!$C$4))),MAX((Setup!$C$5-Setup!$C$7),Setup!$C$4)+($K91-($F91*MAX(0,(Setup!$C$5-Setup!$C$7)-Setup!$C$4)))/($F91*Setup!$C$8),IF(AND($W91&gt;0,$K91&lt;($F91*MAX(0,(Setup!$C$5-Setup!$C$7)-Setup!$C$4))+($F91*Setup!$C$8*MAX(0,Setup!$C$5-MAX((Setup!$C$5-Setup!$C$7),Setup!$C$4)))+($W91/4*MAX(0,Setup!$C$5+4-MAX(Setup!$C$5,Setup!$C$4)))),MAX(Setup!$C$5,Setup!$C$4)+($K91-($F91*MAX(0,(Setup!$C$5-Setup!$C$7)-Setup!$C$4))-($F91*Setup!$C$8*MAX(0,Setup!$C$5-MAX((Setup!$C$5-Setup!$C$7),Setup!$C$4))))/($W91/4),MAX(Setup!$C$5+4,Setup!$C$4)+($K91-($F91*MAX(0,(Setup!$C$5-Setup!$C$7)-Setup!$C$4))-($F91*Setup!$C$8*MAX(0,Setup!$C$5-MAX((Setup!$C$5-Setup!$C$7),Setup!$C$4)))-($W91/4*MAX(0,Setup!$C$5+4-MAX(Setup!$C$5,Setup!$C$4))))/($F91*Setup!$C$14)))))))</f>
        <v/>
      </c>
      <c r="AI91" s="79" t="str">
        <f>IF($R91&lt;&gt;"OK","",IF(AND($L91&lt;&gt;"",$L91&gt;0,ISNUMBER($AH91),$M91&gt;$AH91),"Runs out before the incoming delivery arrives",IF($AB91=0,"OK",IF($K91+IF(AND($L91&lt;&gt;"",$L91&gt;0),IF($M91&lt;=$AG91,$L91,0),0)&lt;($F91*MAX(0,MIN($AG91,(Setup!$C$5-Setup!$C$7))-Setup!$C$4)+$F91*Setup!$C$8*MAX(0,MIN($AG91,Setup!$C$5)-MAX((Setup!$C$5-Setup!$C$7),Setup!$C$4))+$W91/4*MAX(0,MIN($AG91,Setup!$C$5+4)-MAX(Setup!$C$5,Setup!$C$4))+$F91*Setup!$C$14*MAX(0,$AG91-MAX(Setup!$C$5+4,Setup!$C$4))),"Runs out before this order can land","OK"))))</f>
        <v/>
      </c>
      <c r="AJ91" s="78" t="str">
        <f>IF($R91&lt;&gt;"OK","",IF($AB91=0,0,IF($AL91="Too slow: send it all fast",$AB91,$AR91)))</f>
        <v/>
      </c>
      <c r="AK91" s="78" t="str">
        <f>IF($R91&lt;&gt;"OK","",$AB91-$AJ91)</f>
        <v/>
      </c>
      <c r="AL91" s="78" t="str">
        <f>IF($R91&lt;&gt;"OK","",IF($AB91=0,"",IF($AB91-$AR91=0,"Nothing left over",IF($O91="Domestic",IF($AG91&lt;=Setup!$C$6+Setup!$C$20+1,"Later units can go by Domestic","Too slow: send it all fast"),IF($AS91+$N91+Setup!$C$25+Setup!$C$11&lt;=Setup!$C$6+Setup!$C$20+1,"Later units can go by Ocean long",IF($AS91+$N91+Setup!$C$26+Setup!$C$11&lt;=Setup!$C$6+Setup!$C$20+1,"Later units can go by Ocean short",IF($AS91+$N91+Setup!$C$27+Setup!$C$11&lt;=Setup!$C$6+Setup!$C$20+1,"Later units can go by Air",IF($AS91+$N91+Setup!$C$28+Setup!$C$11&lt;=Setup!$C$6+Setup!$C$20+1,"Later units can go by Express","Too slow: send it all fast"))))))))</f>
        <v/>
      </c>
      <c r="AM91" s="94" t="str">
        <f>IF($R91&lt;&gt;"OK","",$E91-$D91)</f>
        <v/>
      </c>
      <c r="AN91" s="95" t="str">
        <f>IF($R91&lt;&gt;"OK","",($E91-$D91)/$D91)</f>
        <v/>
      </c>
      <c r="AO91" s="95" t="str">
        <f>IF($R91&lt;&gt;"OK","",IF($AB91&gt;0,$AN91+IF($C91="Evergreen",1000,0),""))</f>
        <v/>
      </c>
      <c r="AP91" s="78" t="str">
        <f>IF(OR($R91&lt;&gt;"OK",$AO91=""),"",COUNTIF($AO$6:$AO$205,"&gt;"&amp;$AO91)+COUNTIF($AO$6:$AO91,$AO91))</f>
        <v/>
      </c>
      <c r="AQ91" s="78" t="str">
        <f>IF(OR($R91&lt;&gt;"OK",$AP91=""),"",INDEX('Buy list'!$G$5:$G$204,$AP91))</f>
        <v/>
      </c>
      <c r="AR91" s="78" t="str">
        <f>IF($R91&lt;&gt;"OK","",IF($AB91=0,0,MIN($AB91,CEILING(MAX(0,($F91*MAX(0,MIN((Setup!$C$6+1+Setup!$C$20),(Setup!$C$5-Setup!$C$7))-Setup!$C$4)+$F91*Setup!$C$8*MAX(0,MIN((Setup!$C$6+1+Setup!$C$20),Setup!$C$5)-MAX((Setup!$C$5-Setup!$C$7),Setup!$C$4))+$W91/4*MAX(0,MIN((Setup!$C$6+1+Setup!$C$20),Setup!$C$5+4)-MAX(Setup!$C$5,Setup!$C$4))+$F91*Setup!$C$14*MAX(0,(Setup!$C$6+1+Setup!$C$20)-MAX(Setup!$C$5+4,Setup!$C$4)))+$Y91-$K91-IF(AND($L91&lt;&gt;"",$L91&gt;0),IF($M91&lt;=Setup!$C$10,$L91,0),0)),IF(OR($P91="",$P91&lt;=0),1,$P91)))))</f>
        <v/>
      </c>
      <c r="AS91" s="96" t="str">
        <f>IF($R91&lt;&gt;"OK","",IF(AND($O91&lt;&gt;"Domestic",ISNUMBER(Setup!$C$22),Setup!$C$22&gt;Setup!$C$4),Setup!$C$22,Setup!$C$4))</f>
        <v/>
      </c>
      <c r="AT91" s="96" t="str">
        <f>IF($R91&lt;&gt;"OK","",IF($AB91=0,"",IF($O91="Domestic",$AG91,$AS91+$N91+Setup!$C$27+Setup!$C$11)))</f>
        <v/>
      </c>
    </row>
    <row r="92" ht="15" customHeight="1" s="46">
      <c r="A92" s="70" t="n"/>
      <c r="B92" s="70" t="n"/>
      <c r="C92" s="70" t="n"/>
      <c r="D92" s="85" t="n"/>
      <c r="E92" s="85" t="n"/>
      <c r="F92" s="86" t="n"/>
      <c r="G92" s="87" t="n"/>
      <c r="H92" s="88" t="n"/>
      <c r="I92" s="89" t="n"/>
      <c r="J92" s="90" t="n"/>
      <c r="K92" s="87" t="n"/>
      <c r="L92" s="87" t="n"/>
      <c r="M92" s="91" t="n"/>
      <c r="N92" s="92" t="n"/>
      <c r="O92" s="70" t="n"/>
      <c r="P92" s="92" t="n"/>
      <c r="Q92" s="87" t="n"/>
      <c r="R92" s="79" t="str">
        <f>IF($A92="","",IF($C92="","Missing: type",IF(OR($D92="",$D92&lt;=0),"Missing: unit cost",IF($E92="","Missing: unit price",IF($F92="","Missing: daily sales",IF($K92="","Missing: on hand",IF($N92="","Missing: production days",IF($O92="","Missing: freight mode",IF(ISNA(MATCH($O92,Setup!$B$25:$B$29,0)),"Unknown freight mode",IF(AND($L92&lt;&gt;"",$L92&gt;0,$M92=""),"Missing: on-order arrival date","OK"))))))))))</f>
        <v/>
      </c>
      <c r="S92" s="78" t="str">
        <f>IF($R92&lt;&gt;"OK","",IF($G92="","",ROUND($G92/IF(OR($H92="",$H92&lt;=0),4,$H92)*4,0)))</f>
        <v/>
      </c>
      <c r="T92" s="78" t="str">
        <f>IF($R92&lt;&gt;"OK","",ROUND(IF($G92="",$F92*4*Setup!$C$19,$G92/IF(OR($H92="",$H92&lt;=0),4,$H92)*4*(1+IF($I92="",Setup!$C$16,$I92)))*IF($J92="",1,$J92),0))</f>
        <v/>
      </c>
      <c r="U92" s="78" t="str">
        <f>IF($R92&lt;&gt;"OK","",ROUND($T92*Setup!$C$17,0))</f>
        <v/>
      </c>
      <c r="V92" s="78" t="str">
        <f>IF($R92&lt;&gt;"OK","",ROUND($T92*Setup!$C$18,0))</f>
        <v/>
      </c>
      <c r="W92" s="78" t="str">
        <f>IF($R92&lt;&gt;"OK","",IF($C92="Evergreen",$V92,IF($C92="Seasonal or new",$U92,$T92)))</f>
        <v/>
      </c>
      <c r="X92" s="78" t="str">
        <f>IF($R92&lt;&gt;"OK","",ROUND(($F92*MAX(0,MIN(Setup!$C$13+1,(Setup!$C$5-Setup!$C$7))-Setup!$C$4)+$F92*Setup!$C$8*MAX(0,MIN(Setup!$C$13+1,Setup!$C$5)-MAX((Setup!$C$5-Setup!$C$7),Setup!$C$4))+$W92/4*MAX(0,MIN(Setup!$C$13+1,Setup!$C$5+4)-MAX(Setup!$C$5,Setup!$C$4))+$F92*Setup!$C$14*MAX(0,Setup!$C$13+1-MAX(Setup!$C$5+4,Setup!$C$4))),0))</f>
        <v/>
      </c>
      <c r="Y92" s="78" t="str">
        <f>IF($R92&lt;&gt;"OK","",ROUND($F92*Setup!$C$15,0))</f>
        <v/>
      </c>
      <c r="Z92" s="78" t="str">
        <f>IF($R92&lt;&gt;"OK","",IF(AND($L92&lt;&gt;"",$L92&gt;0),IF($M92&lt;=Setup!$C$13,$L92,0),0))</f>
        <v/>
      </c>
      <c r="AA92" s="78" t="str">
        <f>IF($R92&lt;&gt;"OK","",MAX(0,$X92+$Y92-$K92-$Z92))</f>
        <v/>
      </c>
      <c r="AB92" s="78" t="str">
        <f>IF($R92&lt;&gt;"OK","",IF($AA92=0,0,CEILING(MAX($AA92,IF($Q92="",0,$Q92)),IF(OR($P92="",$P92&lt;=0),1,$P92))))</f>
        <v/>
      </c>
      <c r="AC92" s="78" t="str">
        <f>IF($R92&lt;&gt;"OK","",$AB92*$D92)</f>
        <v/>
      </c>
      <c r="AD92" s="93" t="str">
        <f>IF($R92&lt;&gt;"OK","",INDEX(Setup!$D$25:$D$29,MATCH($O92,Setup!$B$25:$B$29,0)))</f>
        <v/>
      </c>
      <c r="AE92" s="93" t="str">
        <f>IF($R92&lt;&gt;"OK","",$AD92-$N92)</f>
        <v/>
      </c>
      <c r="AF92" s="79" t="str">
        <f>IF($R92&lt;&gt;"OK","",IF($AB92=0,"No order needed",IF($AE92&gt;=$AS92,"Order by the deadline",IF(AND($O92&lt;&gt;"Domestic",Setup!$D$27-$N92&gt;=$AS92),"Late by this mode: fly it",IF(Setup!$D$28-$N92&gt;=$AS92,"Late: Express courier only",IF($AG92&lt;Setup!$C$5,"Tight: lands before Black Friday",IF(AND($O92&lt;&gt;"Domestic",$AT92&lt;Setup!$C$5),"Tight: by Air lands before Black Friday",IF($AS92+$N92+Setup!$C$28+Setup!$C$11&lt;Setup!$C$5,"Tight: by Express lands before Black Friday","Too late: ration"))))))))</f>
        <v/>
      </c>
      <c r="AG92" s="93" t="str">
        <f>IF($R92&lt;&gt;"OK","",IF($AB92=0,"",$AS92+$N92+INDEX(Setup!$C$25:$C$29,MATCH($O92,Setup!$B$25:$B$29,0))+Setup!$C$11))</f>
        <v/>
      </c>
      <c r="AH92" s="93" t="str">
        <f>IF($R92&lt;&gt;"OK","",IF($F92&lt;=0,"",INT(IF($K92&lt;($F92*MAX(0,(Setup!$C$5-Setup!$C$7)-Setup!$C$4)),Setup!$C$4+$K92/$F92,IF($K92&lt;($F92*MAX(0,(Setup!$C$5-Setup!$C$7)-Setup!$C$4))+($F92*Setup!$C$8*MAX(0,Setup!$C$5-MAX((Setup!$C$5-Setup!$C$7),Setup!$C$4))),MAX((Setup!$C$5-Setup!$C$7),Setup!$C$4)+($K92-($F92*MAX(0,(Setup!$C$5-Setup!$C$7)-Setup!$C$4)))/($F92*Setup!$C$8),IF(AND($W92&gt;0,$K92&lt;($F92*MAX(0,(Setup!$C$5-Setup!$C$7)-Setup!$C$4))+($F92*Setup!$C$8*MAX(0,Setup!$C$5-MAX((Setup!$C$5-Setup!$C$7),Setup!$C$4)))+($W92/4*MAX(0,Setup!$C$5+4-MAX(Setup!$C$5,Setup!$C$4)))),MAX(Setup!$C$5,Setup!$C$4)+($K92-($F92*MAX(0,(Setup!$C$5-Setup!$C$7)-Setup!$C$4))-($F92*Setup!$C$8*MAX(0,Setup!$C$5-MAX((Setup!$C$5-Setup!$C$7),Setup!$C$4))))/($W92/4),MAX(Setup!$C$5+4,Setup!$C$4)+($K92-($F92*MAX(0,(Setup!$C$5-Setup!$C$7)-Setup!$C$4))-($F92*Setup!$C$8*MAX(0,Setup!$C$5-MAX((Setup!$C$5-Setup!$C$7),Setup!$C$4)))-($W92/4*MAX(0,Setup!$C$5+4-MAX(Setup!$C$5,Setup!$C$4))))/($F92*Setup!$C$14)))))))</f>
        <v/>
      </c>
      <c r="AI92" s="79" t="str">
        <f>IF($R92&lt;&gt;"OK","",IF(AND($L92&lt;&gt;"",$L92&gt;0,ISNUMBER($AH92),$M92&gt;$AH92),"Runs out before the incoming delivery arrives",IF($AB92=0,"OK",IF($K92+IF(AND($L92&lt;&gt;"",$L92&gt;0),IF($M92&lt;=$AG92,$L92,0),0)&lt;($F92*MAX(0,MIN($AG92,(Setup!$C$5-Setup!$C$7))-Setup!$C$4)+$F92*Setup!$C$8*MAX(0,MIN($AG92,Setup!$C$5)-MAX((Setup!$C$5-Setup!$C$7),Setup!$C$4))+$W92/4*MAX(0,MIN($AG92,Setup!$C$5+4)-MAX(Setup!$C$5,Setup!$C$4))+$F92*Setup!$C$14*MAX(0,$AG92-MAX(Setup!$C$5+4,Setup!$C$4))),"Runs out before this order can land","OK"))))</f>
        <v/>
      </c>
      <c r="AJ92" s="78" t="str">
        <f>IF($R92&lt;&gt;"OK","",IF($AB92=0,0,IF($AL92="Too slow: send it all fast",$AB92,$AR92)))</f>
        <v/>
      </c>
      <c r="AK92" s="78" t="str">
        <f>IF($R92&lt;&gt;"OK","",$AB92-$AJ92)</f>
        <v/>
      </c>
      <c r="AL92" s="78" t="str">
        <f>IF($R92&lt;&gt;"OK","",IF($AB92=0,"",IF($AB92-$AR92=0,"Nothing left over",IF($O92="Domestic",IF($AG92&lt;=Setup!$C$6+Setup!$C$20+1,"Later units can go by Domestic","Too slow: send it all fast"),IF($AS92+$N92+Setup!$C$25+Setup!$C$11&lt;=Setup!$C$6+Setup!$C$20+1,"Later units can go by Ocean long",IF($AS92+$N92+Setup!$C$26+Setup!$C$11&lt;=Setup!$C$6+Setup!$C$20+1,"Later units can go by Ocean short",IF($AS92+$N92+Setup!$C$27+Setup!$C$11&lt;=Setup!$C$6+Setup!$C$20+1,"Later units can go by Air",IF($AS92+$N92+Setup!$C$28+Setup!$C$11&lt;=Setup!$C$6+Setup!$C$20+1,"Later units can go by Express","Too slow: send it all fast"))))))))</f>
        <v/>
      </c>
      <c r="AM92" s="94" t="str">
        <f>IF($R92&lt;&gt;"OK","",$E92-$D92)</f>
        <v/>
      </c>
      <c r="AN92" s="95" t="str">
        <f>IF($R92&lt;&gt;"OK","",($E92-$D92)/$D92)</f>
        <v/>
      </c>
      <c r="AO92" s="95" t="str">
        <f>IF($R92&lt;&gt;"OK","",IF($AB92&gt;0,$AN92+IF($C92="Evergreen",1000,0),""))</f>
        <v/>
      </c>
      <c r="AP92" s="78" t="str">
        <f>IF(OR($R92&lt;&gt;"OK",$AO92=""),"",COUNTIF($AO$6:$AO$205,"&gt;"&amp;$AO92)+COUNTIF($AO$6:$AO92,$AO92))</f>
        <v/>
      </c>
      <c r="AQ92" s="78" t="str">
        <f>IF(OR($R92&lt;&gt;"OK",$AP92=""),"",INDEX('Buy list'!$G$5:$G$204,$AP92))</f>
        <v/>
      </c>
      <c r="AR92" s="78" t="str">
        <f>IF($R92&lt;&gt;"OK","",IF($AB92=0,0,MIN($AB92,CEILING(MAX(0,($F92*MAX(0,MIN((Setup!$C$6+1+Setup!$C$20),(Setup!$C$5-Setup!$C$7))-Setup!$C$4)+$F92*Setup!$C$8*MAX(0,MIN((Setup!$C$6+1+Setup!$C$20),Setup!$C$5)-MAX((Setup!$C$5-Setup!$C$7),Setup!$C$4))+$W92/4*MAX(0,MIN((Setup!$C$6+1+Setup!$C$20),Setup!$C$5+4)-MAX(Setup!$C$5,Setup!$C$4))+$F92*Setup!$C$14*MAX(0,(Setup!$C$6+1+Setup!$C$20)-MAX(Setup!$C$5+4,Setup!$C$4)))+$Y92-$K92-IF(AND($L92&lt;&gt;"",$L92&gt;0),IF($M92&lt;=Setup!$C$10,$L92,0),0)),IF(OR($P92="",$P92&lt;=0),1,$P92)))))</f>
        <v/>
      </c>
      <c r="AS92" s="96" t="str">
        <f>IF($R92&lt;&gt;"OK","",IF(AND($O92&lt;&gt;"Domestic",ISNUMBER(Setup!$C$22),Setup!$C$22&gt;Setup!$C$4),Setup!$C$22,Setup!$C$4))</f>
        <v/>
      </c>
      <c r="AT92" s="96" t="str">
        <f>IF($R92&lt;&gt;"OK","",IF($AB92=0,"",IF($O92="Domestic",$AG92,$AS92+$N92+Setup!$C$27+Setup!$C$11)))</f>
        <v/>
      </c>
    </row>
    <row r="93" ht="15" customHeight="1" s="46">
      <c r="A93" s="70" t="n"/>
      <c r="B93" s="70" t="n"/>
      <c r="C93" s="70" t="n"/>
      <c r="D93" s="85" t="n"/>
      <c r="E93" s="85" t="n"/>
      <c r="F93" s="86" t="n"/>
      <c r="G93" s="87" t="n"/>
      <c r="H93" s="88" t="n"/>
      <c r="I93" s="89" t="n"/>
      <c r="J93" s="90" t="n"/>
      <c r="K93" s="87" t="n"/>
      <c r="L93" s="87" t="n"/>
      <c r="M93" s="91" t="n"/>
      <c r="N93" s="92" t="n"/>
      <c r="O93" s="70" t="n"/>
      <c r="P93" s="92" t="n"/>
      <c r="Q93" s="87" t="n"/>
      <c r="R93" s="79" t="str">
        <f>IF($A93="","",IF($C93="","Missing: type",IF(OR($D93="",$D93&lt;=0),"Missing: unit cost",IF($E93="","Missing: unit price",IF($F93="","Missing: daily sales",IF($K93="","Missing: on hand",IF($N93="","Missing: production days",IF($O93="","Missing: freight mode",IF(ISNA(MATCH($O93,Setup!$B$25:$B$29,0)),"Unknown freight mode",IF(AND($L93&lt;&gt;"",$L93&gt;0,$M93=""),"Missing: on-order arrival date","OK"))))))))))</f>
        <v/>
      </c>
      <c r="S93" s="78" t="str">
        <f>IF($R93&lt;&gt;"OK","",IF($G93="","",ROUND($G93/IF(OR($H93="",$H93&lt;=0),4,$H93)*4,0)))</f>
        <v/>
      </c>
      <c r="T93" s="78" t="str">
        <f>IF($R93&lt;&gt;"OK","",ROUND(IF($G93="",$F93*4*Setup!$C$19,$G93/IF(OR($H93="",$H93&lt;=0),4,$H93)*4*(1+IF($I93="",Setup!$C$16,$I93)))*IF($J93="",1,$J93),0))</f>
        <v/>
      </c>
      <c r="U93" s="78" t="str">
        <f>IF($R93&lt;&gt;"OK","",ROUND($T93*Setup!$C$17,0))</f>
        <v/>
      </c>
      <c r="V93" s="78" t="str">
        <f>IF($R93&lt;&gt;"OK","",ROUND($T93*Setup!$C$18,0))</f>
        <v/>
      </c>
      <c r="W93" s="78" t="str">
        <f>IF($R93&lt;&gt;"OK","",IF($C93="Evergreen",$V93,IF($C93="Seasonal or new",$U93,$T93)))</f>
        <v/>
      </c>
      <c r="X93" s="78" t="str">
        <f>IF($R93&lt;&gt;"OK","",ROUND(($F93*MAX(0,MIN(Setup!$C$13+1,(Setup!$C$5-Setup!$C$7))-Setup!$C$4)+$F93*Setup!$C$8*MAX(0,MIN(Setup!$C$13+1,Setup!$C$5)-MAX((Setup!$C$5-Setup!$C$7),Setup!$C$4))+$W93/4*MAX(0,MIN(Setup!$C$13+1,Setup!$C$5+4)-MAX(Setup!$C$5,Setup!$C$4))+$F93*Setup!$C$14*MAX(0,Setup!$C$13+1-MAX(Setup!$C$5+4,Setup!$C$4))),0))</f>
        <v/>
      </c>
      <c r="Y93" s="78" t="str">
        <f>IF($R93&lt;&gt;"OK","",ROUND($F93*Setup!$C$15,0))</f>
        <v/>
      </c>
      <c r="Z93" s="78" t="str">
        <f>IF($R93&lt;&gt;"OK","",IF(AND($L93&lt;&gt;"",$L93&gt;0),IF($M93&lt;=Setup!$C$13,$L93,0),0))</f>
        <v/>
      </c>
      <c r="AA93" s="78" t="str">
        <f>IF($R93&lt;&gt;"OK","",MAX(0,$X93+$Y93-$K93-$Z93))</f>
        <v/>
      </c>
      <c r="AB93" s="78" t="str">
        <f>IF($R93&lt;&gt;"OK","",IF($AA93=0,0,CEILING(MAX($AA93,IF($Q93="",0,$Q93)),IF(OR($P93="",$P93&lt;=0),1,$P93))))</f>
        <v/>
      </c>
      <c r="AC93" s="78" t="str">
        <f>IF($R93&lt;&gt;"OK","",$AB93*$D93)</f>
        <v/>
      </c>
      <c r="AD93" s="93" t="str">
        <f>IF($R93&lt;&gt;"OK","",INDEX(Setup!$D$25:$D$29,MATCH($O93,Setup!$B$25:$B$29,0)))</f>
        <v/>
      </c>
      <c r="AE93" s="93" t="str">
        <f>IF($R93&lt;&gt;"OK","",$AD93-$N93)</f>
        <v/>
      </c>
      <c r="AF93" s="79" t="str">
        <f>IF($R93&lt;&gt;"OK","",IF($AB93=0,"No order needed",IF($AE93&gt;=$AS93,"Order by the deadline",IF(AND($O93&lt;&gt;"Domestic",Setup!$D$27-$N93&gt;=$AS93),"Late by this mode: fly it",IF(Setup!$D$28-$N93&gt;=$AS93,"Late: Express courier only",IF($AG93&lt;Setup!$C$5,"Tight: lands before Black Friday",IF(AND($O93&lt;&gt;"Domestic",$AT93&lt;Setup!$C$5),"Tight: by Air lands before Black Friday",IF($AS93+$N93+Setup!$C$28+Setup!$C$11&lt;Setup!$C$5,"Tight: by Express lands before Black Friday","Too late: ration"))))))))</f>
        <v/>
      </c>
      <c r="AG93" s="93" t="str">
        <f>IF($R93&lt;&gt;"OK","",IF($AB93=0,"",$AS93+$N93+INDEX(Setup!$C$25:$C$29,MATCH($O93,Setup!$B$25:$B$29,0))+Setup!$C$11))</f>
        <v/>
      </c>
      <c r="AH93" s="93" t="str">
        <f>IF($R93&lt;&gt;"OK","",IF($F93&lt;=0,"",INT(IF($K93&lt;($F93*MAX(0,(Setup!$C$5-Setup!$C$7)-Setup!$C$4)),Setup!$C$4+$K93/$F93,IF($K93&lt;($F93*MAX(0,(Setup!$C$5-Setup!$C$7)-Setup!$C$4))+($F93*Setup!$C$8*MAX(0,Setup!$C$5-MAX((Setup!$C$5-Setup!$C$7),Setup!$C$4))),MAX((Setup!$C$5-Setup!$C$7),Setup!$C$4)+($K93-($F93*MAX(0,(Setup!$C$5-Setup!$C$7)-Setup!$C$4)))/($F93*Setup!$C$8),IF(AND($W93&gt;0,$K93&lt;($F93*MAX(0,(Setup!$C$5-Setup!$C$7)-Setup!$C$4))+($F93*Setup!$C$8*MAX(0,Setup!$C$5-MAX((Setup!$C$5-Setup!$C$7),Setup!$C$4)))+($W93/4*MAX(0,Setup!$C$5+4-MAX(Setup!$C$5,Setup!$C$4)))),MAX(Setup!$C$5,Setup!$C$4)+($K93-($F93*MAX(0,(Setup!$C$5-Setup!$C$7)-Setup!$C$4))-($F93*Setup!$C$8*MAX(0,Setup!$C$5-MAX((Setup!$C$5-Setup!$C$7),Setup!$C$4))))/($W93/4),MAX(Setup!$C$5+4,Setup!$C$4)+($K93-($F93*MAX(0,(Setup!$C$5-Setup!$C$7)-Setup!$C$4))-($F93*Setup!$C$8*MAX(0,Setup!$C$5-MAX((Setup!$C$5-Setup!$C$7),Setup!$C$4)))-($W93/4*MAX(0,Setup!$C$5+4-MAX(Setup!$C$5,Setup!$C$4))))/($F93*Setup!$C$14)))))))</f>
        <v/>
      </c>
      <c r="AI93" s="79" t="str">
        <f>IF($R93&lt;&gt;"OK","",IF(AND($L93&lt;&gt;"",$L93&gt;0,ISNUMBER($AH93),$M93&gt;$AH93),"Runs out before the incoming delivery arrives",IF($AB93=0,"OK",IF($K93+IF(AND($L93&lt;&gt;"",$L93&gt;0),IF($M93&lt;=$AG93,$L93,0),0)&lt;($F93*MAX(0,MIN($AG93,(Setup!$C$5-Setup!$C$7))-Setup!$C$4)+$F93*Setup!$C$8*MAX(0,MIN($AG93,Setup!$C$5)-MAX((Setup!$C$5-Setup!$C$7),Setup!$C$4))+$W93/4*MAX(0,MIN($AG93,Setup!$C$5+4)-MAX(Setup!$C$5,Setup!$C$4))+$F93*Setup!$C$14*MAX(0,$AG93-MAX(Setup!$C$5+4,Setup!$C$4))),"Runs out before this order can land","OK"))))</f>
        <v/>
      </c>
      <c r="AJ93" s="78" t="str">
        <f>IF($R93&lt;&gt;"OK","",IF($AB93=0,0,IF($AL93="Too slow: send it all fast",$AB93,$AR93)))</f>
        <v/>
      </c>
      <c r="AK93" s="78" t="str">
        <f>IF($R93&lt;&gt;"OK","",$AB93-$AJ93)</f>
        <v/>
      </c>
      <c r="AL93" s="78" t="str">
        <f>IF($R93&lt;&gt;"OK","",IF($AB93=0,"",IF($AB93-$AR93=0,"Nothing left over",IF($O93="Domestic",IF($AG93&lt;=Setup!$C$6+Setup!$C$20+1,"Later units can go by Domestic","Too slow: send it all fast"),IF($AS93+$N93+Setup!$C$25+Setup!$C$11&lt;=Setup!$C$6+Setup!$C$20+1,"Later units can go by Ocean long",IF($AS93+$N93+Setup!$C$26+Setup!$C$11&lt;=Setup!$C$6+Setup!$C$20+1,"Later units can go by Ocean short",IF($AS93+$N93+Setup!$C$27+Setup!$C$11&lt;=Setup!$C$6+Setup!$C$20+1,"Later units can go by Air",IF($AS93+$N93+Setup!$C$28+Setup!$C$11&lt;=Setup!$C$6+Setup!$C$20+1,"Later units can go by Express","Too slow: send it all fast"))))))))</f>
        <v/>
      </c>
      <c r="AM93" s="94" t="str">
        <f>IF($R93&lt;&gt;"OK","",$E93-$D93)</f>
        <v/>
      </c>
      <c r="AN93" s="95" t="str">
        <f>IF($R93&lt;&gt;"OK","",($E93-$D93)/$D93)</f>
        <v/>
      </c>
      <c r="AO93" s="95" t="str">
        <f>IF($R93&lt;&gt;"OK","",IF($AB93&gt;0,$AN93+IF($C93="Evergreen",1000,0),""))</f>
        <v/>
      </c>
      <c r="AP93" s="78" t="str">
        <f>IF(OR($R93&lt;&gt;"OK",$AO93=""),"",COUNTIF($AO$6:$AO$205,"&gt;"&amp;$AO93)+COUNTIF($AO$6:$AO93,$AO93))</f>
        <v/>
      </c>
      <c r="AQ93" s="78" t="str">
        <f>IF(OR($R93&lt;&gt;"OK",$AP93=""),"",INDEX('Buy list'!$G$5:$G$204,$AP93))</f>
        <v/>
      </c>
      <c r="AR93" s="78" t="str">
        <f>IF($R93&lt;&gt;"OK","",IF($AB93=0,0,MIN($AB93,CEILING(MAX(0,($F93*MAX(0,MIN((Setup!$C$6+1+Setup!$C$20),(Setup!$C$5-Setup!$C$7))-Setup!$C$4)+$F93*Setup!$C$8*MAX(0,MIN((Setup!$C$6+1+Setup!$C$20),Setup!$C$5)-MAX((Setup!$C$5-Setup!$C$7),Setup!$C$4))+$W93/4*MAX(0,MIN((Setup!$C$6+1+Setup!$C$20),Setup!$C$5+4)-MAX(Setup!$C$5,Setup!$C$4))+$F93*Setup!$C$14*MAX(0,(Setup!$C$6+1+Setup!$C$20)-MAX(Setup!$C$5+4,Setup!$C$4)))+$Y93-$K93-IF(AND($L93&lt;&gt;"",$L93&gt;0),IF($M93&lt;=Setup!$C$10,$L93,0),0)),IF(OR($P93="",$P93&lt;=0),1,$P93)))))</f>
        <v/>
      </c>
      <c r="AS93" s="96" t="str">
        <f>IF($R93&lt;&gt;"OK","",IF(AND($O93&lt;&gt;"Domestic",ISNUMBER(Setup!$C$22),Setup!$C$22&gt;Setup!$C$4),Setup!$C$22,Setup!$C$4))</f>
        <v/>
      </c>
      <c r="AT93" s="96" t="str">
        <f>IF($R93&lt;&gt;"OK","",IF($AB93=0,"",IF($O93="Domestic",$AG93,$AS93+$N93+Setup!$C$27+Setup!$C$11)))</f>
        <v/>
      </c>
    </row>
    <row r="94" ht="15" customHeight="1" s="46">
      <c r="A94" s="70" t="n"/>
      <c r="B94" s="70" t="n"/>
      <c r="C94" s="70" t="n"/>
      <c r="D94" s="85" t="n"/>
      <c r="E94" s="85" t="n"/>
      <c r="F94" s="86" t="n"/>
      <c r="G94" s="87" t="n"/>
      <c r="H94" s="88" t="n"/>
      <c r="I94" s="89" t="n"/>
      <c r="J94" s="90" t="n"/>
      <c r="K94" s="87" t="n"/>
      <c r="L94" s="87" t="n"/>
      <c r="M94" s="91" t="n"/>
      <c r="N94" s="92" t="n"/>
      <c r="O94" s="70" t="n"/>
      <c r="P94" s="92" t="n"/>
      <c r="Q94" s="87" t="n"/>
      <c r="R94" s="79" t="str">
        <f>IF($A94="","",IF($C94="","Missing: type",IF(OR($D94="",$D94&lt;=0),"Missing: unit cost",IF($E94="","Missing: unit price",IF($F94="","Missing: daily sales",IF($K94="","Missing: on hand",IF($N94="","Missing: production days",IF($O94="","Missing: freight mode",IF(ISNA(MATCH($O94,Setup!$B$25:$B$29,0)),"Unknown freight mode",IF(AND($L94&lt;&gt;"",$L94&gt;0,$M94=""),"Missing: on-order arrival date","OK"))))))))))</f>
        <v/>
      </c>
      <c r="S94" s="78" t="str">
        <f>IF($R94&lt;&gt;"OK","",IF($G94="","",ROUND($G94/IF(OR($H94="",$H94&lt;=0),4,$H94)*4,0)))</f>
        <v/>
      </c>
      <c r="T94" s="78" t="str">
        <f>IF($R94&lt;&gt;"OK","",ROUND(IF($G94="",$F94*4*Setup!$C$19,$G94/IF(OR($H94="",$H94&lt;=0),4,$H94)*4*(1+IF($I94="",Setup!$C$16,$I94)))*IF($J94="",1,$J94),0))</f>
        <v/>
      </c>
      <c r="U94" s="78" t="str">
        <f>IF($R94&lt;&gt;"OK","",ROUND($T94*Setup!$C$17,0))</f>
        <v/>
      </c>
      <c r="V94" s="78" t="str">
        <f>IF($R94&lt;&gt;"OK","",ROUND($T94*Setup!$C$18,0))</f>
        <v/>
      </c>
      <c r="W94" s="78" t="str">
        <f>IF($R94&lt;&gt;"OK","",IF($C94="Evergreen",$V94,IF($C94="Seasonal or new",$U94,$T94)))</f>
        <v/>
      </c>
      <c r="X94" s="78" t="str">
        <f>IF($R94&lt;&gt;"OK","",ROUND(($F94*MAX(0,MIN(Setup!$C$13+1,(Setup!$C$5-Setup!$C$7))-Setup!$C$4)+$F94*Setup!$C$8*MAX(0,MIN(Setup!$C$13+1,Setup!$C$5)-MAX((Setup!$C$5-Setup!$C$7),Setup!$C$4))+$W94/4*MAX(0,MIN(Setup!$C$13+1,Setup!$C$5+4)-MAX(Setup!$C$5,Setup!$C$4))+$F94*Setup!$C$14*MAX(0,Setup!$C$13+1-MAX(Setup!$C$5+4,Setup!$C$4))),0))</f>
        <v/>
      </c>
      <c r="Y94" s="78" t="str">
        <f>IF($R94&lt;&gt;"OK","",ROUND($F94*Setup!$C$15,0))</f>
        <v/>
      </c>
      <c r="Z94" s="78" t="str">
        <f>IF($R94&lt;&gt;"OK","",IF(AND($L94&lt;&gt;"",$L94&gt;0),IF($M94&lt;=Setup!$C$13,$L94,0),0))</f>
        <v/>
      </c>
      <c r="AA94" s="78" t="str">
        <f>IF($R94&lt;&gt;"OK","",MAX(0,$X94+$Y94-$K94-$Z94))</f>
        <v/>
      </c>
      <c r="AB94" s="78" t="str">
        <f>IF($R94&lt;&gt;"OK","",IF($AA94=0,0,CEILING(MAX($AA94,IF($Q94="",0,$Q94)),IF(OR($P94="",$P94&lt;=0),1,$P94))))</f>
        <v/>
      </c>
      <c r="AC94" s="78" t="str">
        <f>IF($R94&lt;&gt;"OK","",$AB94*$D94)</f>
        <v/>
      </c>
      <c r="AD94" s="93" t="str">
        <f>IF($R94&lt;&gt;"OK","",INDEX(Setup!$D$25:$D$29,MATCH($O94,Setup!$B$25:$B$29,0)))</f>
        <v/>
      </c>
      <c r="AE94" s="93" t="str">
        <f>IF($R94&lt;&gt;"OK","",$AD94-$N94)</f>
        <v/>
      </c>
      <c r="AF94" s="79" t="str">
        <f>IF($R94&lt;&gt;"OK","",IF($AB94=0,"No order needed",IF($AE94&gt;=$AS94,"Order by the deadline",IF(AND($O94&lt;&gt;"Domestic",Setup!$D$27-$N94&gt;=$AS94),"Late by this mode: fly it",IF(Setup!$D$28-$N94&gt;=$AS94,"Late: Express courier only",IF($AG94&lt;Setup!$C$5,"Tight: lands before Black Friday",IF(AND($O94&lt;&gt;"Domestic",$AT94&lt;Setup!$C$5),"Tight: by Air lands before Black Friday",IF($AS94+$N94+Setup!$C$28+Setup!$C$11&lt;Setup!$C$5,"Tight: by Express lands before Black Friday","Too late: ration"))))))))</f>
        <v/>
      </c>
      <c r="AG94" s="93" t="str">
        <f>IF($R94&lt;&gt;"OK","",IF($AB94=0,"",$AS94+$N94+INDEX(Setup!$C$25:$C$29,MATCH($O94,Setup!$B$25:$B$29,0))+Setup!$C$11))</f>
        <v/>
      </c>
      <c r="AH94" s="93" t="str">
        <f>IF($R94&lt;&gt;"OK","",IF($F94&lt;=0,"",INT(IF($K94&lt;($F94*MAX(0,(Setup!$C$5-Setup!$C$7)-Setup!$C$4)),Setup!$C$4+$K94/$F94,IF($K94&lt;($F94*MAX(0,(Setup!$C$5-Setup!$C$7)-Setup!$C$4))+($F94*Setup!$C$8*MAX(0,Setup!$C$5-MAX((Setup!$C$5-Setup!$C$7),Setup!$C$4))),MAX((Setup!$C$5-Setup!$C$7),Setup!$C$4)+($K94-($F94*MAX(0,(Setup!$C$5-Setup!$C$7)-Setup!$C$4)))/($F94*Setup!$C$8),IF(AND($W94&gt;0,$K94&lt;($F94*MAX(0,(Setup!$C$5-Setup!$C$7)-Setup!$C$4))+($F94*Setup!$C$8*MAX(0,Setup!$C$5-MAX((Setup!$C$5-Setup!$C$7),Setup!$C$4)))+($W94/4*MAX(0,Setup!$C$5+4-MAX(Setup!$C$5,Setup!$C$4)))),MAX(Setup!$C$5,Setup!$C$4)+($K94-($F94*MAX(0,(Setup!$C$5-Setup!$C$7)-Setup!$C$4))-($F94*Setup!$C$8*MAX(0,Setup!$C$5-MAX((Setup!$C$5-Setup!$C$7),Setup!$C$4))))/($W94/4),MAX(Setup!$C$5+4,Setup!$C$4)+($K94-($F94*MAX(0,(Setup!$C$5-Setup!$C$7)-Setup!$C$4))-($F94*Setup!$C$8*MAX(0,Setup!$C$5-MAX((Setup!$C$5-Setup!$C$7),Setup!$C$4)))-($W94/4*MAX(0,Setup!$C$5+4-MAX(Setup!$C$5,Setup!$C$4))))/($F94*Setup!$C$14)))))))</f>
        <v/>
      </c>
      <c r="AI94" s="79" t="str">
        <f>IF($R94&lt;&gt;"OK","",IF(AND($L94&lt;&gt;"",$L94&gt;0,ISNUMBER($AH94),$M94&gt;$AH94),"Runs out before the incoming delivery arrives",IF($AB94=0,"OK",IF($K94+IF(AND($L94&lt;&gt;"",$L94&gt;0),IF($M94&lt;=$AG94,$L94,0),0)&lt;($F94*MAX(0,MIN($AG94,(Setup!$C$5-Setup!$C$7))-Setup!$C$4)+$F94*Setup!$C$8*MAX(0,MIN($AG94,Setup!$C$5)-MAX((Setup!$C$5-Setup!$C$7),Setup!$C$4))+$W94/4*MAX(0,MIN($AG94,Setup!$C$5+4)-MAX(Setup!$C$5,Setup!$C$4))+$F94*Setup!$C$14*MAX(0,$AG94-MAX(Setup!$C$5+4,Setup!$C$4))),"Runs out before this order can land","OK"))))</f>
        <v/>
      </c>
      <c r="AJ94" s="78" t="str">
        <f>IF($R94&lt;&gt;"OK","",IF($AB94=0,0,IF($AL94="Too slow: send it all fast",$AB94,$AR94)))</f>
        <v/>
      </c>
      <c r="AK94" s="78" t="str">
        <f>IF($R94&lt;&gt;"OK","",$AB94-$AJ94)</f>
        <v/>
      </c>
      <c r="AL94" s="78" t="str">
        <f>IF($R94&lt;&gt;"OK","",IF($AB94=0,"",IF($AB94-$AR94=0,"Nothing left over",IF($O94="Domestic",IF($AG94&lt;=Setup!$C$6+Setup!$C$20+1,"Later units can go by Domestic","Too slow: send it all fast"),IF($AS94+$N94+Setup!$C$25+Setup!$C$11&lt;=Setup!$C$6+Setup!$C$20+1,"Later units can go by Ocean long",IF($AS94+$N94+Setup!$C$26+Setup!$C$11&lt;=Setup!$C$6+Setup!$C$20+1,"Later units can go by Ocean short",IF($AS94+$N94+Setup!$C$27+Setup!$C$11&lt;=Setup!$C$6+Setup!$C$20+1,"Later units can go by Air",IF($AS94+$N94+Setup!$C$28+Setup!$C$11&lt;=Setup!$C$6+Setup!$C$20+1,"Later units can go by Express","Too slow: send it all fast"))))))))</f>
        <v/>
      </c>
      <c r="AM94" s="94" t="str">
        <f>IF($R94&lt;&gt;"OK","",$E94-$D94)</f>
        <v/>
      </c>
      <c r="AN94" s="95" t="str">
        <f>IF($R94&lt;&gt;"OK","",($E94-$D94)/$D94)</f>
        <v/>
      </c>
      <c r="AO94" s="95" t="str">
        <f>IF($R94&lt;&gt;"OK","",IF($AB94&gt;0,$AN94+IF($C94="Evergreen",1000,0),""))</f>
        <v/>
      </c>
      <c r="AP94" s="78" t="str">
        <f>IF(OR($R94&lt;&gt;"OK",$AO94=""),"",COUNTIF($AO$6:$AO$205,"&gt;"&amp;$AO94)+COUNTIF($AO$6:$AO94,$AO94))</f>
        <v/>
      </c>
      <c r="AQ94" s="78" t="str">
        <f>IF(OR($R94&lt;&gt;"OK",$AP94=""),"",INDEX('Buy list'!$G$5:$G$204,$AP94))</f>
        <v/>
      </c>
      <c r="AR94" s="78" t="str">
        <f>IF($R94&lt;&gt;"OK","",IF($AB94=0,0,MIN($AB94,CEILING(MAX(0,($F94*MAX(0,MIN((Setup!$C$6+1+Setup!$C$20),(Setup!$C$5-Setup!$C$7))-Setup!$C$4)+$F94*Setup!$C$8*MAX(0,MIN((Setup!$C$6+1+Setup!$C$20),Setup!$C$5)-MAX((Setup!$C$5-Setup!$C$7),Setup!$C$4))+$W94/4*MAX(0,MIN((Setup!$C$6+1+Setup!$C$20),Setup!$C$5+4)-MAX(Setup!$C$5,Setup!$C$4))+$F94*Setup!$C$14*MAX(0,(Setup!$C$6+1+Setup!$C$20)-MAX(Setup!$C$5+4,Setup!$C$4)))+$Y94-$K94-IF(AND($L94&lt;&gt;"",$L94&gt;0),IF($M94&lt;=Setup!$C$10,$L94,0),0)),IF(OR($P94="",$P94&lt;=0),1,$P94)))))</f>
        <v/>
      </c>
      <c r="AS94" s="96" t="str">
        <f>IF($R94&lt;&gt;"OK","",IF(AND($O94&lt;&gt;"Domestic",ISNUMBER(Setup!$C$22),Setup!$C$22&gt;Setup!$C$4),Setup!$C$22,Setup!$C$4))</f>
        <v/>
      </c>
      <c r="AT94" s="96" t="str">
        <f>IF($R94&lt;&gt;"OK","",IF($AB94=0,"",IF($O94="Domestic",$AG94,$AS94+$N94+Setup!$C$27+Setup!$C$11)))</f>
        <v/>
      </c>
    </row>
    <row r="95" ht="15" customHeight="1" s="46">
      <c r="A95" s="70" t="n"/>
      <c r="B95" s="70" t="n"/>
      <c r="C95" s="70" t="n"/>
      <c r="D95" s="85" t="n"/>
      <c r="E95" s="85" t="n"/>
      <c r="F95" s="86" t="n"/>
      <c r="G95" s="87" t="n"/>
      <c r="H95" s="88" t="n"/>
      <c r="I95" s="89" t="n"/>
      <c r="J95" s="90" t="n"/>
      <c r="K95" s="87" t="n"/>
      <c r="L95" s="87" t="n"/>
      <c r="M95" s="91" t="n"/>
      <c r="N95" s="92" t="n"/>
      <c r="O95" s="70" t="n"/>
      <c r="P95" s="92" t="n"/>
      <c r="Q95" s="87" t="n"/>
      <c r="R95" s="79" t="str">
        <f>IF($A95="","",IF($C95="","Missing: type",IF(OR($D95="",$D95&lt;=0),"Missing: unit cost",IF($E95="","Missing: unit price",IF($F95="","Missing: daily sales",IF($K95="","Missing: on hand",IF($N95="","Missing: production days",IF($O95="","Missing: freight mode",IF(ISNA(MATCH($O95,Setup!$B$25:$B$29,0)),"Unknown freight mode",IF(AND($L95&lt;&gt;"",$L95&gt;0,$M95=""),"Missing: on-order arrival date","OK"))))))))))</f>
        <v/>
      </c>
      <c r="S95" s="78" t="str">
        <f>IF($R95&lt;&gt;"OK","",IF($G95="","",ROUND($G95/IF(OR($H95="",$H95&lt;=0),4,$H95)*4,0)))</f>
        <v/>
      </c>
      <c r="T95" s="78" t="str">
        <f>IF($R95&lt;&gt;"OK","",ROUND(IF($G95="",$F95*4*Setup!$C$19,$G95/IF(OR($H95="",$H95&lt;=0),4,$H95)*4*(1+IF($I95="",Setup!$C$16,$I95)))*IF($J95="",1,$J95),0))</f>
        <v/>
      </c>
      <c r="U95" s="78" t="str">
        <f>IF($R95&lt;&gt;"OK","",ROUND($T95*Setup!$C$17,0))</f>
        <v/>
      </c>
      <c r="V95" s="78" t="str">
        <f>IF($R95&lt;&gt;"OK","",ROUND($T95*Setup!$C$18,0))</f>
        <v/>
      </c>
      <c r="W95" s="78" t="str">
        <f>IF($R95&lt;&gt;"OK","",IF($C95="Evergreen",$V95,IF($C95="Seasonal or new",$U95,$T95)))</f>
        <v/>
      </c>
      <c r="X95" s="78" t="str">
        <f>IF($R95&lt;&gt;"OK","",ROUND(($F95*MAX(0,MIN(Setup!$C$13+1,(Setup!$C$5-Setup!$C$7))-Setup!$C$4)+$F95*Setup!$C$8*MAX(0,MIN(Setup!$C$13+1,Setup!$C$5)-MAX((Setup!$C$5-Setup!$C$7),Setup!$C$4))+$W95/4*MAX(0,MIN(Setup!$C$13+1,Setup!$C$5+4)-MAX(Setup!$C$5,Setup!$C$4))+$F95*Setup!$C$14*MAX(0,Setup!$C$13+1-MAX(Setup!$C$5+4,Setup!$C$4))),0))</f>
        <v/>
      </c>
      <c r="Y95" s="78" t="str">
        <f>IF($R95&lt;&gt;"OK","",ROUND($F95*Setup!$C$15,0))</f>
        <v/>
      </c>
      <c r="Z95" s="78" t="str">
        <f>IF($R95&lt;&gt;"OK","",IF(AND($L95&lt;&gt;"",$L95&gt;0),IF($M95&lt;=Setup!$C$13,$L95,0),0))</f>
        <v/>
      </c>
      <c r="AA95" s="78" t="str">
        <f>IF($R95&lt;&gt;"OK","",MAX(0,$X95+$Y95-$K95-$Z95))</f>
        <v/>
      </c>
      <c r="AB95" s="78" t="str">
        <f>IF($R95&lt;&gt;"OK","",IF($AA95=0,0,CEILING(MAX($AA95,IF($Q95="",0,$Q95)),IF(OR($P95="",$P95&lt;=0),1,$P95))))</f>
        <v/>
      </c>
      <c r="AC95" s="78" t="str">
        <f>IF($R95&lt;&gt;"OK","",$AB95*$D95)</f>
        <v/>
      </c>
      <c r="AD95" s="93" t="str">
        <f>IF($R95&lt;&gt;"OK","",INDEX(Setup!$D$25:$D$29,MATCH($O95,Setup!$B$25:$B$29,0)))</f>
        <v/>
      </c>
      <c r="AE95" s="93" t="str">
        <f>IF($R95&lt;&gt;"OK","",$AD95-$N95)</f>
        <v/>
      </c>
      <c r="AF95" s="79" t="str">
        <f>IF($R95&lt;&gt;"OK","",IF($AB95=0,"No order needed",IF($AE95&gt;=$AS95,"Order by the deadline",IF(AND($O95&lt;&gt;"Domestic",Setup!$D$27-$N95&gt;=$AS95),"Late by this mode: fly it",IF(Setup!$D$28-$N95&gt;=$AS95,"Late: Express courier only",IF($AG95&lt;Setup!$C$5,"Tight: lands before Black Friday",IF(AND($O95&lt;&gt;"Domestic",$AT95&lt;Setup!$C$5),"Tight: by Air lands before Black Friday",IF($AS95+$N95+Setup!$C$28+Setup!$C$11&lt;Setup!$C$5,"Tight: by Express lands before Black Friday","Too late: ration"))))))))</f>
        <v/>
      </c>
      <c r="AG95" s="93" t="str">
        <f>IF($R95&lt;&gt;"OK","",IF($AB95=0,"",$AS95+$N95+INDEX(Setup!$C$25:$C$29,MATCH($O95,Setup!$B$25:$B$29,0))+Setup!$C$11))</f>
        <v/>
      </c>
      <c r="AH95" s="93" t="str">
        <f>IF($R95&lt;&gt;"OK","",IF($F95&lt;=0,"",INT(IF($K95&lt;($F95*MAX(0,(Setup!$C$5-Setup!$C$7)-Setup!$C$4)),Setup!$C$4+$K95/$F95,IF($K95&lt;($F95*MAX(0,(Setup!$C$5-Setup!$C$7)-Setup!$C$4))+($F95*Setup!$C$8*MAX(0,Setup!$C$5-MAX((Setup!$C$5-Setup!$C$7),Setup!$C$4))),MAX((Setup!$C$5-Setup!$C$7),Setup!$C$4)+($K95-($F95*MAX(0,(Setup!$C$5-Setup!$C$7)-Setup!$C$4)))/($F95*Setup!$C$8),IF(AND($W95&gt;0,$K95&lt;($F95*MAX(0,(Setup!$C$5-Setup!$C$7)-Setup!$C$4))+($F95*Setup!$C$8*MAX(0,Setup!$C$5-MAX((Setup!$C$5-Setup!$C$7),Setup!$C$4)))+($W95/4*MAX(0,Setup!$C$5+4-MAX(Setup!$C$5,Setup!$C$4)))),MAX(Setup!$C$5,Setup!$C$4)+($K95-($F95*MAX(0,(Setup!$C$5-Setup!$C$7)-Setup!$C$4))-($F95*Setup!$C$8*MAX(0,Setup!$C$5-MAX((Setup!$C$5-Setup!$C$7),Setup!$C$4))))/($W95/4),MAX(Setup!$C$5+4,Setup!$C$4)+($K95-($F95*MAX(0,(Setup!$C$5-Setup!$C$7)-Setup!$C$4))-($F95*Setup!$C$8*MAX(0,Setup!$C$5-MAX((Setup!$C$5-Setup!$C$7),Setup!$C$4)))-($W95/4*MAX(0,Setup!$C$5+4-MAX(Setup!$C$5,Setup!$C$4))))/($F95*Setup!$C$14)))))))</f>
        <v/>
      </c>
      <c r="AI95" s="79" t="str">
        <f>IF($R95&lt;&gt;"OK","",IF(AND($L95&lt;&gt;"",$L95&gt;0,ISNUMBER($AH95),$M95&gt;$AH95),"Runs out before the incoming delivery arrives",IF($AB95=0,"OK",IF($K95+IF(AND($L95&lt;&gt;"",$L95&gt;0),IF($M95&lt;=$AG95,$L95,0),0)&lt;($F95*MAX(0,MIN($AG95,(Setup!$C$5-Setup!$C$7))-Setup!$C$4)+$F95*Setup!$C$8*MAX(0,MIN($AG95,Setup!$C$5)-MAX((Setup!$C$5-Setup!$C$7),Setup!$C$4))+$W95/4*MAX(0,MIN($AG95,Setup!$C$5+4)-MAX(Setup!$C$5,Setup!$C$4))+$F95*Setup!$C$14*MAX(0,$AG95-MAX(Setup!$C$5+4,Setup!$C$4))),"Runs out before this order can land","OK"))))</f>
        <v/>
      </c>
      <c r="AJ95" s="78" t="str">
        <f>IF($R95&lt;&gt;"OK","",IF($AB95=0,0,IF($AL95="Too slow: send it all fast",$AB95,$AR95)))</f>
        <v/>
      </c>
      <c r="AK95" s="78" t="str">
        <f>IF($R95&lt;&gt;"OK","",$AB95-$AJ95)</f>
        <v/>
      </c>
      <c r="AL95" s="78" t="str">
        <f>IF($R95&lt;&gt;"OK","",IF($AB95=0,"",IF($AB95-$AR95=0,"Nothing left over",IF($O95="Domestic",IF($AG95&lt;=Setup!$C$6+Setup!$C$20+1,"Later units can go by Domestic","Too slow: send it all fast"),IF($AS95+$N95+Setup!$C$25+Setup!$C$11&lt;=Setup!$C$6+Setup!$C$20+1,"Later units can go by Ocean long",IF($AS95+$N95+Setup!$C$26+Setup!$C$11&lt;=Setup!$C$6+Setup!$C$20+1,"Later units can go by Ocean short",IF($AS95+$N95+Setup!$C$27+Setup!$C$11&lt;=Setup!$C$6+Setup!$C$20+1,"Later units can go by Air",IF($AS95+$N95+Setup!$C$28+Setup!$C$11&lt;=Setup!$C$6+Setup!$C$20+1,"Later units can go by Express","Too slow: send it all fast"))))))))</f>
        <v/>
      </c>
      <c r="AM95" s="94" t="str">
        <f>IF($R95&lt;&gt;"OK","",$E95-$D95)</f>
        <v/>
      </c>
      <c r="AN95" s="95" t="str">
        <f>IF($R95&lt;&gt;"OK","",($E95-$D95)/$D95)</f>
        <v/>
      </c>
      <c r="AO95" s="95" t="str">
        <f>IF($R95&lt;&gt;"OK","",IF($AB95&gt;0,$AN95+IF($C95="Evergreen",1000,0),""))</f>
        <v/>
      </c>
      <c r="AP95" s="78" t="str">
        <f>IF(OR($R95&lt;&gt;"OK",$AO95=""),"",COUNTIF($AO$6:$AO$205,"&gt;"&amp;$AO95)+COUNTIF($AO$6:$AO95,$AO95))</f>
        <v/>
      </c>
      <c r="AQ95" s="78" t="str">
        <f>IF(OR($R95&lt;&gt;"OK",$AP95=""),"",INDEX('Buy list'!$G$5:$G$204,$AP95))</f>
        <v/>
      </c>
      <c r="AR95" s="78" t="str">
        <f>IF($R95&lt;&gt;"OK","",IF($AB95=0,0,MIN($AB95,CEILING(MAX(0,($F95*MAX(0,MIN((Setup!$C$6+1+Setup!$C$20),(Setup!$C$5-Setup!$C$7))-Setup!$C$4)+$F95*Setup!$C$8*MAX(0,MIN((Setup!$C$6+1+Setup!$C$20),Setup!$C$5)-MAX((Setup!$C$5-Setup!$C$7),Setup!$C$4))+$W95/4*MAX(0,MIN((Setup!$C$6+1+Setup!$C$20),Setup!$C$5+4)-MAX(Setup!$C$5,Setup!$C$4))+$F95*Setup!$C$14*MAX(0,(Setup!$C$6+1+Setup!$C$20)-MAX(Setup!$C$5+4,Setup!$C$4)))+$Y95-$K95-IF(AND($L95&lt;&gt;"",$L95&gt;0),IF($M95&lt;=Setup!$C$10,$L95,0),0)),IF(OR($P95="",$P95&lt;=0),1,$P95)))))</f>
        <v/>
      </c>
      <c r="AS95" s="96" t="str">
        <f>IF($R95&lt;&gt;"OK","",IF(AND($O95&lt;&gt;"Domestic",ISNUMBER(Setup!$C$22),Setup!$C$22&gt;Setup!$C$4),Setup!$C$22,Setup!$C$4))</f>
        <v/>
      </c>
      <c r="AT95" s="96" t="str">
        <f>IF($R95&lt;&gt;"OK","",IF($AB95=0,"",IF($O95="Domestic",$AG95,$AS95+$N95+Setup!$C$27+Setup!$C$11)))</f>
        <v/>
      </c>
    </row>
    <row r="96" ht="15" customHeight="1" s="46">
      <c r="A96" s="70" t="n"/>
      <c r="B96" s="70" t="n"/>
      <c r="C96" s="70" t="n"/>
      <c r="D96" s="85" t="n"/>
      <c r="E96" s="85" t="n"/>
      <c r="F96" s="86" t="n"/>
      <c r="G96" s="87" t="n"/>
      <c r="H96" s="88" t="n"/>
      <c r="I96" s="89" t="n"/>
      <c r="J96" s="90" t="n"/>
      <c r="K96" s="87" t="n"/>
      <c r="L96" s="87" t="n"/>
      <c r="M96" s="91" t="n"/>
      <c r="N96" s="92" t="n"/>
      <c r="O96" s="70" t="n"/>
      <c r="P96" s="92" t="n"/>
      <c r="Q96" s="87" t="n"/>
      <c r="R96" s="79" t="str">
        <f>IF($A96="","",IF($C96="","Missing: type",IF(OR($D96="",$D96&lt;=0),"Missing: unit cost",IF($E96="","Missing: unit price",IF($F96="","Missing: daily sales",IF($K96="","Missing: on hand",IF($N96="","Missing: production days",IF($O96="","Missing: freight mode",IF(ISNA(MATCH($O96,Setup!$B$25:$B$29,0)),"Unknown freight mode",IF(AND($L96&lt;&gt;"",$L96&gt;0,$M96=""),"Missing: on-order arrival date","OK"))))))))))</f>
        <v/>
      </c>
      <c r="S96" s="78" t="str">
        <f>IF($R96&lt;&gt;"OK","",IF($G96="","",ROUND($G96/IF(OR($H96="",$H96&lt;=0),4,$H96)*4,0)))</f>
        <v/>
      </c>
      <c r="T96" s="78" t="str">
        <f>IF($R96&lt;&gt;"OK","",ROUND(IF($G96="",$F96*4*Setup!$C$19,$G96/IF(OR($H96="",$H96&lt;=0),4,$H96)*4*(1+IF($I96="",Setup!$C$16,$I96)))*IF($J96="",1,$J96),0))</f>
        <v/>
      </c>
      <c r="U96" s="78" t="str">
        <f>IF($R96&lt;&gt;"OK","",ROUND($T96*Setup!$C$17,0))</f>
        <v/>
      </c>
      <c r="V96" s="78" t="str">
        <f>IF($R96&lt;&gt;"OK","",ROUND($T96*Setup!$C$18,0))</f>
        <v/>
      </c>
      <c r="W96" s="78" t="str">
        <f>IF($R96&lt;&gt;"OK","",IF($C96="Evergreen",$V96,IF($C96="Seasonal or new",$U96,$T96)))</f>
        <v/>
      </c>
      <c r="X96" s="78" t="str">
        <f>IF($R96&lt;&gt;"OK","",ROUND(($F96*MAX(0,MIN(Setup!$C$13+1,(Setup!$C$5-Setup!$C$7))-Setup!$C$4)+$F96*Setup!$C$8*MAX(0,MIN(Setup!$C$13+1,Setup!$C$5)-MAX((Setup!$C$5-Setup!$C$7),Setup!$C$4))+$W96/4*MAX(0,MIN(Setup!$C$13+1,Setup!$C$5+4)-MAX(Setup!$C$5,Setup!$C$4))+$F96*Setup!$C$14*MAX(0,Setup!$C$13+1-MAX(Setup!$C$5+4,Setup!$C$4))),0))</f>
        <v/>
      </c>
      <c r="Y96" s="78" t="str">
        <f>IF($R96&lt;&gt;"OK","",ROUND($F96*Setup!$C$15,0))</f>
        <v/>
      </c>
      <c r="Z96" s="78" t="str">
        <f>IF($R96&lt;&gt;"OK","",IF(AND($L96&lt;&gt;"",$L96&gt;0),IF($M96&lt;=Setup!$C$13,$L96,0),0))</f>
        <v/>
      </c>
      <c r="AA96" s="78" t="str">
        <f>IF($R96&lt;&gt;"OK","",MAX(0,$X96+$Y96-$K96-$Z96))</f>
        <v/>
      </c>
      <c r="AB96" s="78" t="str">
        <f>IF($R96&lt;&gt;"OK","",IF($AA96=0,0,CEILING(MAX($AA96,IF($Q96="",0,$Q96)),IF(OR($P96="",$P96&lt;=0),1,$P96))))</f>
        <v/>
      </c>
      <c r="AC96" s="78" t="str">
        <f>IF($R96&lt;&gt;"OK","",$AB96*$D96)</f>
        <v/>
      </c>
      <c r="AD96" s="93" t="str">
        <f>IF($R96&lt;&gt;"OK","",INDEX(Setup!$D$25:$D$29,MATCH($O96,Setup!$B$25:$B$29,0)))</f>
        <v/>
      </c>
      <c r="AE96" s="93" t="str">
        <f>IF($R96&lt;&gt;"OK","",$AD96-$N96)</f>
        <v/>
      </c>
      <c r="AF96" s="79" t="str">
        <f>IF($R96&lt;&gt;"OK","",IF($AB96=0,"No order needed",IF($AE96&gt;=$AS96,"Order by the deadline",IF(AND($O96&lt;&gt;"Domestic",Setup!$D$27-$N96&gt;=$AS96),"Late by this mode: fly it",IF(Setup!$D$28-$N96&gt;=$AS96,"Late: Express courier only",IF($AG96&lt;Setup!$C$5,"Tight: lands before Black Friday",IF(AND($O96&lt;&gt;"Domestic",$AT96&lt;Setup!$C$5),"Tight: by Air lands before Black Friday",IF($AS96+$N96+Setup!$C$28+Setup!$C$11&lt;Setup!$C$5,"Tight: by Express lands before Black Friday","Too late: ration"))))))))</f>
        <v/>
      </c>
      <c r="AG96" s="93" t="str">
        <f>IF($R96&lt;&gt;"OK","",IF($AB96=0,"",$AS96+$N96+INDEX(Setup!$C$25:$C$29,MATCH($O96,Setup!$B$25:$B$29,0))+Setup!$C$11))</f>
        <v/>
      </c>
      <c r="AH96" s="93" t="str">
        <f>IF($R96&lt;&gt;"OK","",IF($F96&lt;=0,"",INT(IF($K96&lt;($F96*MAX(0,(Setup!$C$5-Setup!$C$7)-Setup!$C$4)),Setup!$C$4+$K96/$F96,IF($K96&lt;($F96*MAX(0,(Setup!$C$5-Setup!$C$7)-Setup!$C$4))+($F96*Setup!$C$8*MAX(0,Setup!$C$5-MAX((Setup!$C$5-Setup!$C$7),Setup!$C$4))),MAX((Setup!$C$5-Setup!$C$7),Setup!$C$4)+($K96-($F96*MAX(0,(Setup!$C$5-Setup!$C$7)-Setup!$C$4)))/($F96*Setup!$C$8),IF(AND($W96&gt;0,$K96&lt;($F96*MAX(0,(Setup!$C$5-Setup!$C$7)-Setup!$C$4))+($F96*Setup!$C$8*MAX(0,Setup!$C$5-MAX((Setup!$C$5-Setup!$C$7),Setup!$C$4)))+($W96/4*MAX(0,Setup!$C$5+4-MAX(Setup!$C$5,Setup!$C$4)))),MAX(Setup!$C$5,Setup!$C$4)+($K96-($F96*MAX(0,(Setup!$C$5-Setup!$C$7)-Setup!$C$4))-($F96*Setup!$C$8*MAX(0,Setup!$C$5-MAX((Setup!$C$5-Setup!$C$7),Setup!$C$4))))/($W96/4),MAX(Setup!$C$5+4,Setup!$C$4)+($K96-($F96*MAX(0,(Setup!$C$5-Setup!$C$7)-Setup!$C$4))-($F96*Setup!$C$8*MAX(0,Setup!$C$5-MAX((Setup!$C$5-Setup!$C$7),Setup!$C$4)))-($W96/4*MAX(0,Setup!$C$5+4-MAX(Setup!$C$5,Setup!$C$4))))/($F96*Setup!$C$14)))))))</f>
        <v/>
      </c>
      <c r="AI96" s="79" t="str">
        <f>IF($R96&lt;&gt;"OK","",IF(AND($L96&lt;&gt;"",$L96&gt;0,ISNUMBER($AH96),$M96&gt;$AH96),"Runs out before the incoming delivery arrives",IF($AB96=0,"OK",IF($K96+IF(AND($L96&lt;&gt;"",$L96&gt;0),IF($M96&lt;=$AG96,$L96,0),0)&lt;($F96*MAX(0,MIN($AG96,(Setup!$C$5-Setup!$C$7))-Setup!$C$4)+$F96*Setup!$C$8*MAX(0,MIN($AG96,Setup!$C$5)-MAX((Setup!$C$5-Setup!$C$7),Setup!$C$4))+$W96/4*MAX(0,MIN($AG96,Setup!$C$5+4)-MAX(Setup!$C$5,Setup!$C$4))+$F96*Setup!$C$14*MAX(0,$AG96-MAX(Setup!$C$5+4,Setup!$C$4))),"Runs out before this order can land","OK"))))</f>
        <v/>
      </c>
      <c r="AJ96" s="78" t="str">
        <f>IF($R96&lt;&gt;"OK","",IF($AB96=0,0,IF($AL96="Too slow: send it all fast",$AB96,$AR96)))</f>
        <v/>
      </c>
      <c r="AK96" s="78" t="str">
        <f>IF($R96&lt;&gt;"OK","",$AB96-$AJ96)</f>
        <v/>
      </c>
      <c r="AL96" s="78" t="str">
        <f>IF($R96&lt;&gt;"OK","",IF($AB96=0,"",IF($AB96-$AR96=0,"Nothing left over",IF($O96="Domestic",IF($AG96&lt;=Setup!$C$6+Setup!$C$20+1,"Later units can go by Domestic","Too slow: send it all fast"),IF($AS96+$N96+Setup!$C$25+Setup!$C$11&lt;=Setup!$C$6+Setup!$C$20+1,"Later units can go by Ocean long",IF($AS96+$N96+Setup!$C$26+Setup!$C$11&lt;=Setup!$C$6+Setup!$C$20+1,"Later units can go by Ocean short",IF($AS96+$N96+Setup!$C$27+Setup!$C$11&lt;=Setup!$C$6+Setup!$C$20+1,"Later units can go by Air",IF($AS96+$N96+Setup!$C$28+Setup!$C$11&lt;=Setup!$C$6+Setup!$C$20+1,"Later units can go by Express","Too slow: send it all fast"))))))))</f>
        <v/>
      </c>
      <c r="AM96" s="94" t="str">
        <f>IF($R96&lt;&gt;"OK","",$E96-$D96)</f>
        <v/>
      </c>
      <c r="AN96" s="95" t="str">
        <f>IF($R96&lt;&gt;"OK","",($E96-$D96)/$D96)</f>
        <v/>
      </c>
      <c r="AO96" s="95" t="str">
        <f>IF($R96&lt;&gt;"OK","",IF($AB96&gt;0,$AN96+IF($C96="Evergreen",1000,0),""))</f>
        <v/>
      </c>
      <c r="AP96" s="78" t="str">
        <f>IF(OR($R96&lt;&gt;"OK",$AO96=""),"",COUNTIF($AO$6:$AO$205,"&gt;"&amp;$AO96)+COUNTIF($AO$6:$AO96,$AO96))</f>
        <v/>
      </c>
      <c r="AQ96" s="78" t="str">
        <f>IF(OR($R96&lt;&gt;"OK",$AP96=""),"",INDEX('Buy list'!$G$5:$G$204,$AP96))</f>
        <v/>
      </c>
      <c r="AR96" s="78" t="str">
        <f>IF($R96&lt;&gt;"OK","",IF($AB96=0,0,MIN($AB96,CEILING(MAX(0,($F96*MAX(0,MIN((Setup!$C$6+1+Setup!$C$20),(Setup!$C$5-Setup!$C$7))-Setup!$C$4)+$F96*Setup!$C$8*MAX(0,MIN((Setup!$C$6+1+Setup!$C$20),Setup!$C$5)-MAX((Setup!$C$5-Setup!$C$7),Setup!$C$4))+$W96/4*MAX(0,MIN((Setup!$C$6+1+Setup!$C$20),Setup!$C$5+4)-MAX(Setup!$C$5,Setup!$C$4))+$F96*Setup!$C$14*MAX(0,(Setup!$C$6+1+Setup!$C$20)-MAX(Setup!$C$5+4,Setup!$C$4)))+$Y96-$K96-IF(AND($L96&lt;&gt;"",$L96&gt;0),IF($M96&lt;=Setup!$C$10,$L96,0),0)),IF(OR($P96="",$P96&lt;=0),1,$P96)))))</f>
        <v/>
      </c>
      <c r="AS96" s="96" t="str">
        <f>IF($R96&lt;&gt;"OK","",IF(AND($O96&lt;&gt;"Domestic",ISNUMBER(Setup!$C$22),Setup!$C$22&gt;Setup!$C$4),Setup!$C$22,Setup!$C$4))</f>
        <v/>
      </c>
      <c r="AT96" s="96" t="str">
        <f>IF($R96&lt;&gt;"OK","",IF($AB96=0,"",IF($O96="Domestic",$AG96,$AS96+$N96+Setup!$C$27+Setup!$C$11)))</f>
        <v/>
      </c>
    </row>
    <row r="97" ht="15" customHeight="1" s="46">
      <c r="A97" s="70" t="n"/>
      <c r="B97" s="70" t="n"/>
      <c r="C97" s="70" t="n"/>
      <c r="D97" s="85" t="n"/>
      <c r="E97" s="85" t="n"/>
      <c r="F97" s="86" t="n"/>
      <c r="G97" s="87" t="n"/>
      <c r="H97" s="88" t="n"/>
      <c r="I97" s="89" t="n"/>
      <c r="J97" s="90" t="n"/>
      <c r="K97" s="87" t="n"/>
      <c r="L97" s="87" t="n"/>
      <c r="M97" s="91" t="n"/>
      <c r="N97" s="92" t="n"/>
      <c r="O97" s="70" t="n"/>
      <c r="P97" s="92" t="n"/>
      <c r="Q97" s="87" t="n"/>
      <c r="R97" s="79" t="str">
        <f>IF($A97="","",IF($C97="","Missing: type",IF(OR($D97="",$D97&lt;=0),"Missing: unit cost",IF($E97="","Missing: unit price",IF($F97="","Missing: daily sales",IF($K97="","Missing: on hand",IF($N97="","Missing: production days",IF($O97="","Missing: freight mode",IF(ISNA(MATCH($O97,Setup!$B$25:$B$29,0)),"Unknown freight mode",IF(AND($L97&lt;&gt;"",$L97&gt;0,$M97=""),"Missing: on-order arrival date","OK"))))))))))</f>
        <v/>
      </c>
      <c r="S97" s="78" t="str">
        <f>IF($R97&lt;&gt;"OK","",IF($G97="","",ROUND($G97/IF(OR($H97="",$H97&lt;=0),4,$H97)*4,0)))</f>
        <v/>
      </c>
      <c r="T97" s="78" t="str">
        <f>IF($R97&lt;&gt;"OK","",ROUND(IF($G97="",$F97*4*Setup!$C$19,$G97/IF(OR($H97="",$H97&lt;=0),4,$H97)*4*(1+IF($I97="",Setup!$C$16,$I97)))*IF($J97="",1,$J97),0))</f>
        <v/>
      </c>
      <c r="U97" s="78" t="str">
        <f>IF($R97&lt;&gt;"OK","",ROUND($T97*Setup!$C$17,0))</f>
        <v/>
      </c>
      <c r="V97" s="78" t="str">
        <f>IF($R97&lt;&gt;"OK","",ROUND($T97*Setup!$C$18,0))</f>
        <v/>
      </c>
      <c r="W97" s="78" t="str">
        <f>IF($R97&lt;&gt;"OK","",IF($C97="Evergreen",$V97,IF($C97="Seasonal or new",$U97,$T97)))</f>
        <v/>
      </c>
      <c r="X97" s="78" t="str">
        <f>IF($R97&lt;&gt;"OK","",ROUND(($F97*MAX(0,MIN(Setup!$C$13+1,(Setup!$C$5-Setup!$C$7))-Setup!$C$4)+$F97*Setup!$C$8*MAX(0,MIN(Setup!$C$13+1,Setup!$C$5)-MAX((Setup!$C$5-Setup!$C$7),Setup!$C$4))+$W97/4*MAX(0,MIN(Setup!$C$13+1,Setup!$C$5+4)-MAX(Setup!$C$5,Setup!$C$4))+$F97*Setup!$C$14*MAX(0,Setup!$C$13+1-MAX(Setup!$C$5+4,Setup!$C$4))),0))</f>
        <v/>
      </c>
      <c r="Y97" s="78" t="str">
        <f>IF($R97&lt;&gt;"OK","",ROUND($F97*Setup!$C$15,0))</f>
        <v/>
      </c>
      <c r="Z97" s="78" t="str">
        <f>IF($R97&lt;&gt;"OK","",IF(AND($L97&lt;&gt;"",$L97&gt;0),IF($M97&lt;=Setup!$C$13,$L97,0),0))</f>
        <v/>
      </c>
      <c r="AA97" s="78" t="str">
        <f>IF($R97&lt;&gt;"OK","",MAX(0,$X97+$Y97-$K97-$Z97))</f>
        <v/>
      </c>
      <c r="AB97" s="78" t="str">
        <f>IF($R97&lt;&gt;"OK","",IF($AA97=0,0,CEILING(MAX($AA97,IF($Q97="",0,$Q97)),IF(OR($P97="",$P97&lt;=0),1,$P97))))</f>
        <v/>
      </c>
      <c r="AC97" s="78" t="str">
        <f>IF($R97&lt;&gt;"OK","",$AB97*$D97)</f>
        <v/>
      </c>
      <c r="AD97" s="93" t="str">
        <f>IF($R97&lt;&gt;"OK","",INDEX(Setup!$D$25:$D$29,MATCH($O97,Setup!$B$25:$B$29,0)))</f>
        <v/>
      </c>
      <c r="AE97" s="93" t="str">
        <f>IF($R97&lt;&gt;"OK","",$AD97-$N97)</f>
        <v/>
      </c>
      <c r="AF97" s="79" t="str">
        <f>IF($R97&lt;&gt;"OK","",IF($AB97=0,"No order needed",IF($AE97&gt;=$AS97,"Order by the deadline",IF(AND($O97&lt;&gt;"Domestic",Setup!$D$27-$N97&gt;=$AS97),"Late by this mode: fly it",IF(Setup!$D$28-$N97&gt;=$AS97,"Late: Express courier only",IF($AG97&lt;Setup!$C$5,"Tight: lands before Black Friday",IF(AND($O97&lt;&gt;"Domestic",$AT97&lt;Setup!$C$5),"Tight: by Air lands before Black Friday",IF($AS97+$N97+Setup!$C$28+Setup!$C$11&lt;Setup!$C$5,"Tight: by Express lands before Black Friday","Too late: ration"))))))))</f>
        <v/>
      </c>
      <c r="AG97" s="93" t="str">
        <f>IF($R97&lt;&gt;"OK","",IF($AB97=0,"",$AS97+$N97+INDEX(Setup!$C$25:$C$29,MATCH($O97,Setup!$B$25:$B$29,0))+Setup!$C$11))</f>
        <v/>
      </c>
      <c r="AH97" s="93" t="str">
        <f>IF($R97&lt;&gt;"OK","",IF($F97&lt;=0,"",INT(IF($K97&lt;($F97*MAX(0,(Setup!$C$5-Setup!$C$7)-Setup!$C$4)),Setup!$C$4+$K97/$F97,IF($K97&lt;($F97*MAX(0,(Setup!$C$5-Setup!$C$7)-Setup!$C$4))+($F97*Setup!$C$8*MAX(0,Setup!$C$5-MAX((Setup!$C$5-Setup!$C$7),Setup!$C$4))),MAX((Setup!$C$5-Setup!$C$7),Setup!$C$4)+($K97-($F97*MAX(0,(Setup!$C$5-Setup!$C$7)-Setup!$C$4)))/($F97*Setup!$C$8),IF(AND($W97&gt;0,$K97&lt;($F97*MAX(0,(Setup!$C$5-Setup!$C$7)-Setup!$C$4))+($F97*Setup!$C$8*MAX(0,Setup!$C$5-MAX((Setup!$C$5-Setup!$C$7),Setup!$C$4)))+($W97/4*MAX(0,Setup!$C$5+4-MAX(Setup!$C$5,Setup!$C$4)))),MAX(Setup!$C$5,Setup!$C$4)+($K97-($F97*MAX(0,(Setup!$C$5-Setup!$C$7)-Setup!$C$4))-($F97*Setup!$C$8*MAX(0,Setup!$C$5-MAX((Setup!$C$5-Setup!$C$7),Setup!$C$4))))/($W97/4),MAX(Setup!$C$5+4,Setup!$C$4)+($K97-($F97*MAX(0,(Setup!$C$5-Setup!$C$7)-Setup!$C$4))-($F97*Setup!$C$8*MAX(0,Setup!$C$5-MAX((Setup!$C$5-Setup!$C$7),Setup!$C$4)))-($W97/4*MAX(0,Setup!$C$5+4-MAX(Setup!$C$5,Setup!$C$4))))/($F97*Setup!$C$14)))))))</f>
        <v/>
      </c>
      <c r="AI97" s="79" t="str">
        <f>IF($R97&lt;&gt;"OK","",IF(AND($L97&lt;&gt;"",$L97&gt;0,ISNUMBER($AH97),$M97&gt;$AH97),"Runs out before the incoming delivery arrives",IF($AB97=0,"OK",IF($K97+IF(AND($L97&lt;&gt;"",$L97&gt;0),IF($M97&lt;=$AG97,$L97,0),0)&lt;($F97*MAX(0,MIN($AG97,(Setup!$C$5-Setup!$C$7))-Setup!$C$4)+$F97*Setup!$C$8*MAX(0,MIN($AG97,Setup!$C$5)-MAX((Setup!$C$5-Setup!$C$7),Setup!$C$4))+$W97/4*MAX(0,MIN($AG97,Setup!$C$5+4)-MAX(Setup!$C$5,Setup!$C$4))+$F97*Setup!$C$14*MAX(0,$AG97-MAX(Setup!$C$5+4,Setup!$C$4))),"Runs out before this order can land","OK"))))</f>
        <v/>
      </c>
      <c r="AJ97" s="78" t="str">
        <f>IF($R97&lt;&gt;"OK","",IF($AB97=0,0,IF($AL97="Too slow: send it all fast",$AB97,$AR97)))</f>
        <v/>
      </c>
      <c r="AK97" s="78" t="str">
        <f>IF($R97&lt;&gt;"OK","",$AB97-$AJ97)</f>
        <v/>
      </c>
      <c r="AL97" s="78" t="str">
        <f>IF($R97&lt;&gt;"OK","",IF($AB97=0,"",IF($AB97-$AR97=0,"Nothing left over",IF($O97="Domestic",IF($AG97&lt;=Setup!$C$6+Setup!$C$20+1,"Later units can go by Domestic","Too slow: send it all fast"),IF($AS97+$N97+Setup!$C$25+Setup!$C$11&lt;=Setup!$C$6+Setup!$C$20+1,"Later units can go by Ocean long",IF($AS97+$N97+Setup!$C$26+Setup!$C$11&lt;=Setup!$C$6+Setup!$C$20+1,"Later units can go by Ocean short",IF($AS97+$N97+Setup!$C$27+Setup!$C$11&lt;=Setup!$C$6+Setup!$C$20+1,"Later units can go by Air",IF($AS97+$N97+Setup!$C$28+Setup!$C$11&lt;=Setup!$C$6+Setup!$C$20+1,"Later units can go by Express","Too slow: send it all fast"))))))))</f>
        <v/>
      </c>
      <c r="AM97" s="94" t="str">
        <f>IF($R97&lt;&gt;"OK","",$E97-$D97)</f>
        <v/>
      </c>
      <c r="AN97" s="95" t="str">
        <f>IF($R97&lt;&gt;"OK","",($E97-$D97)/$D97)</f>
        <v/>
      </c>
      <c r="AO97" s="95" t="str">
        <f>IF($R97&lt;&gt;"OK","",IF($AB97&gt;0,$AN97+IF($C97="Evergreen",1000,0),""))</f>
        <v/>
      </c>
      <c r="AP97" s="78" t="str">
        <f>IF(OR($R97&lt;&gt;"OK",$AO97=""),"",COUNTIF($AO$6:$AO$205,"&gt;"&amp;$AO97)+COUNTIF($AO$6:$AO97,$AO97))</f>
        <v/>
      </c>
      <c r="AQ97" s="78" t="str">
        <f>IF(OR($R97&lt;&gt;"OK",$AP97=""),"",INDEX('Buy list'!$G$5:$G$204,$AP97))</f>
        <v/>
      </c>
      <c r="AR97" s="78" t="str">
        <f>IF($R97&lt;&gt;"OK","",IF($AB97=0,0,MIN($AB97,CEILING(MAX(0,($F97*MAX(0,MIN((Setup!$C$6+1+Setup!$C$20),(Setup!$C$5-Setup!$C$7))-Setup!$C$4)+$F97*Setup!$C$8*MAX(0,MIN((Setup!$C$6+1+Setup!$C$20),Setup!$C$5)-MAX((Setup!$C$5-Setup!$C$7),Setup!$C$4))+$W97/4*MAX(0,MIN((Setup!$C$6+1+Setup!$C$20),Setup!$C$5+4)-MAX(Setup!$C$5,Setup!$C$4))+$F97*Setup!$C$14*MAX(0,(Setup!$C$6+1+Setup!$C$20)-MAX(Setup!$C$5+4,Setup!$C$4)))+$Y97-$K97-IF(AND($L97&lt;&gt;"",$L97&gt;0),IF($M97&lt;=Setup!$C$10,$L97,0),0)),IF(OR($P97="",$P97&lt;=0),1,$P97)))))</f>
        <v/>
      </c>
      <c r="AS97" s="96" t="str">
        <f>IF($R97&lt;&gt;"OK","",IF(AND($O97&lt;&gt;"Domestic",ISNUMBER(Setup!$C$22),Setup!$C$22&gt;Setup!$C$4),Setup!$C$22,Setup!$C$4))</f>
        <v/>
      </c>
      <c r="AT97" s="96" t="str">
        <f>IF($R97&lt;&gt;"OK","",IF($AB97=0,"",IF($O97="Domestic",$AG97,$AS97+$N97+Setup!$C$27+Setup!$C$11)))</f>
        <v/>
      </c>
    </row>
    <row r="98" ht="15" customHeight="1" s="46">
      <c r="A98" s="70" t="n"/>
      <c r="B98" s="70" t="n"/>
      <c r="C98" s="70" t="n"/>
      <c r="D98" s="85" t="n"/>
      <c r="E98" s="85" t="n"/>
      <c r="F98" s="86" t="n"/>
      <c r="G98" s="87" t="n"/>
      <c r="H98" s="88" t="n"/>
      <c r="I98" s="89" t="n"/>
      <c r="J98" s="90" t="n"/>
      <c r="K98" s="87" t="n"/>
      <c r="L98" s="87" t="n"/>
      <c r="M98" s="91" t="n"/>
      <c r="N98" s="92" t="n"/>
      <c r="O98" s="70" t="n"/>
      <c r="P98" s="92" t="n"/>
      <c r="Q98" s="87" t="n"/>
      <c r="R98" s="79" t="str">
        <f>IF($A98="","",IF($C98="","Missing: type",IF(OR($D98="",$D98&lt;=0),"Missing: unit cost",IF($E98="","Missing: unit price",IF($F98="","Missing: daily sales",IF($K98="","Missing: on hand",IF($N98="","Missing: production days",IF($O98="","Missing: freight mode",IF(ISNA(MATCH($O98,Setup!$B$25:$B$29,0)),"Unknown freight mode",IF(AND($L98&lt;&gt;"",$L98&gt;0,$M98=""),"Missing: on-order arrival date","OK"))))))))))</f>
        <v/>
      </c>
      <c r="S98" s="78" t="str">
        <f>IF($R98&lt;&gt;"OK","",IF($G98="","",ROUND($G98/IF(OR($H98="",$H98&lt;=0),4,$H98)*4,0)))</f>
        <v/>
      </c>
      <c r="T98" s="78" t="str">
        <f>IF($R98&lt;&gt;"OK","",ROUND(IF($G98="",$F98*4*Setup!$C$19,$G98/IF(OR($H98="",$H98&lt;=0),4,$H98)*4*(1+IF($I98="",Setup!$C$16,$I98)))*IF($J98="",1,$J98),0))</f>
        <v/>
      </c>
      <c r="U98" s="78" t="str">
        <f>IF($R98&lt;&gt;"OK","",ROUND($T98*Setup!$C$17,0))</f>
        <v/>
      </c>
      <c r="V98" s="78" t="str">
        <f>IF($R98&lt;&gt;"OK","",ROUND($T98*Setup!$C$18,0))</f>
        <v/>
      </c>
      <c r="W98" s="78" t="str">
        <f>IF($R98&lt;&gt;"OK","",IF($C98="Evergreen",$V98,IF($C98="Seasonal or new",$U98,$T98)))</f>
        <v/>
      </c>
      <c r="X98" s="78" t="str">
        <f>IF($R98&lt;&gt;"OK","",ROUND(($F98*MAX(0,MIN(Setup!$C$13+1,(Setup!$C$5-Setup!$C$7))-Setup!$C$4)+$F98*Setup!$C$8*MAX(0,MIN(Setup!$C$13+1,Setup!$C$5)-MAX((Setup!$C$5-Setup!$C$7),Setup!$C$4))+$W98/4*MAX(0,MIN(Setup!$C$13+1,Setup!$C$5+4)-MAX(Setup!$C$5,Setup!$C$4))+$F98*Setup!$C$14*MAX(0,Setup!$C$13+1-MAX(Setup!$C$5+4,Setup!$C$4))),0))</f>
        <v/>
      </c>
      <c r="Y98" s="78" t="str">
        <f>IF($R98&lt;&gt;"OK","",ROUND($F98*Setup!$C$15,0))</f>
        <v/>
      </c>
      <c r="Z98" s="78" t="str">
        <f>IF($R98&lt;&gt;"OK","",IF(AND($L98&lt;&gt;"",$L98&gt;0),IF($M98&lt;=Setup!$C$13,$L98,0),0))</f>
        <v/>
      </c>
      <c r="AA98" s="78" t="str">
        <f>IF($R98&lt;&gt;"OK","",MAX(0,$X98+$Y98-$K98-$Z98))</f>
        <v/>
      </c>
      <c r="AB98" s="78" t="str">
        <f>IF($R98&lt;&gt;"OK","",IF($AA98=0,0,CEILING(MAX($AA98,IF($Q98="",0,$Q98)),IF(OR($P98="",$P98&lt;=0),1,$P98))))</f>
        <v/>
      </c>
      <c r="AC98" s="78" t="str">
        <f>IF($R98&lt;&gt;"OK","",$AB98*$D98)</f>
        <v/>
      </c>
      <c r="AD98" s="93" t="str">
        <f>IF($R98&lt;&gt;"OK","",INDEX(Setup!$D$25:$D$29,MATCH($O98,Setup!$B$25:$B$29,0)))</f>
        <v/>
      </c>
      <c r="AE98" s="93" t="str">
        <f>IF($R98&lt;&gt;"OK","",$AD98-$N98)</f>
        <v/>
      </c>
      <c r="AF98" s="79" t="str">
        <f>IF($R98&lt;&gt;"OK","",IF($AB98=0,"No order needed",IF($AE98&gt;=$AS98,"Order by the deadline",IF(AND($O98&lt;&gt;"Domestic",Setup!$D$27-$N98&gt;=$AS98),"Late by this mode: fly it",IF(Setup!$D$28-$N98&gt;=$AS98,"Late: Express courier only",IF($AG98&lt;Setup!$C$5,"Tight: lands before Black Friday",IF(AND($O98&lt;&gt;"Domestic",$AT98&lt;Setup!$C$5),"Tight: by Air lands before Black Friday",IF($AS98+$N98+Setup!$C$28+Setup!$C$11&lt;Setup!$C$5,"Tight: by Express lands before Black Friday","Too late: ration"))))))))</f>
        <v/>
      </c>
      <c r="AG98" s="93" t="str">
        <f>IF($R98&lt;&gt;"OK","",IF($AB98=0,"",$AS98+$N98+INDEX(Setup!$C$25:$C$29,MATCH($O98,Setup!$B$25:$B$29,0))+Setup!$C$11))</f>
        <v/>
      </c>
      <c r="AH98" s="93" t="str">
        <f>IF($R98&lt;&gt;"OK","",IF($F98&lt;=0,"",INT(IF($K98&lt;($F98*MAX(0,(Setup!$C$5-Setup!$C$7)-Setup!$C$4)),Setup!$C$4+$K98/$F98,IF($K98&lt;($F98*MAX(0,(Setup!$C$5-Setup!$C$7)-Setup!$C$4))+($F98*Setup!$C$8*MAX(0,Setup!$C$5-MAX((Setup!$C$5-Setup!$C$7),Setup!$C$4))),MAX((Setup!$C$5-Setup!$C$7),Setup!$C$4)+($K98-($F98*MAX(0,(Setup!$C$5-Setup!$C$7)-Setup!$C$4)))/($F98*Setup!$C$8),IF(AND($W98&gt;0,$K98&lt;($F98*MAX(0,(Setup!$C$5-Setup!$C$7)-Setup!$C$4))+($F98*Setup!$C$8*MAX(0,Setup!$C$5-MAX((Setup!$C$5-Setup!$C$7),Setup!$C$4)))+($W98/4*MAX(0,Setup!$C$5+4-MAX(Setup!$C$5,Setup!$C$4)))),MAX(Setup!$C$5,Setup!$C$4)+($K98-($F98*MAX(0,(Setup!$C$5-Setup!$C$7)-Setup!$C$4))-($F98*Setup!$C$8*MAX(0,Setup!$C$5-MAX((Setup!$C$5-Setup!$C$7),Setup!$C$4))))/($W98/4),MAX(Setup!$C$5+4,Setup!$C$4)+($K98-($F98*MAX(0,(Setup!$C$5-Setup!$C$7)-Setup!$C$4))-($F98*Setup!$C$8*MAX(0,Setup!$C$5-MAX((Setup!$C$5-Setup!$C$7),Setup!$C$4)))-($W98/4*MAX(0,Setup!$C$5+4-MAX(Setup!$C$5,Setup!$C$4))))/($F98*Setup!$C$14)))))))</f>
        <v/>
      </c>
      <c r="AI98" s="79" t="str">
        <f>IF($R98&lt;&gt;"OK","",IF(AND($L98&lt;&gt;"",$L98&gt;0,ISNUMBER($AH98),$M98&gt;$AH98),"Runs out before the incoming delivery arrives",IF($AB98=0,"OK",IF($K98+IF(AND($L98&lt;&gt;"",$L98&gt;0),IF($M98&lt;=$AG98,$L98,0),0)&lt;($F98*MAX(0,MIN($AG98,(Setup!$C$5-Setup!$C$7))-Setup!$C$4)+$F98*Setup!$C$8*MAX(0,MIN($AG98,Setup!$C$5)-MAX((Setup!$C$5-Setup!$C$7),Setup!$C$4))+$W98/4*MAX(0,MIN($AG98,Setup!$C$5+4)-MAX(Setup!$C$5,Setup!$C$4))+$F98*Setup!$C$14*MAX(0,$AG98-MAX(Setup!$C$5+4,Setup!$C$4))),"Runs out before this order can land","OK"))))</f>
        <v/>
      </c>
      <c r="AJ98" s="78" t="str">
        <f>IF($R98&lt;&gt;"OK","",IF($AB98=0,0,IF($AL98="Too slow: send it all fast",$AB98,$AR98)))</f>
        <v/>
      </c>
      <c r="AK98" s="78" t="str">
        <f>IF($R98&lt;&gt;"OK","",$AB98-$AJ98)</f>
        <v/>
      </c>
      <c r="AL98" s="78" t="str">
        <f>IF($R98&lt;&gt;"OK","",IF($AB98=0,"",IF($AB98-$AR98=0,"Nothing left over",IF($O98="Domestic",IF($AG98&lt;=Setup!$C$6+Setup!$C$20+1,"Later units can go by Domestic","Too slow: send it all fast"),IF($AS98+$N98+Setup!$C$25+Setup!$C$11&lt;=Setup!$C$6+Setup!$C$20+1,"Later units can go by Ocean long",IF($AS98+$N98+Setup!$C$26+Setup!$C$11&lt;=Setup!$C$6+Setup!$C$20+1,"Later units can go by Ocean short",IF($AS98+$N98+Setup!$C$27+Setup!$C$11&lt;=Setup!$C$6+Setup!$C$20+1,"Later units can go by Air",IF($AS98+$N98+Setup!$C$28+Setup!$C$11&lt;=Setup!$C$6+Setup!$C$20+1,"Later units can go by Express","Too slow: send it all fast"))))))))</f>
        <v/>
      </c>
      <c r="AM98" s="94" t="str">
        <f>IF($R98&lt;&gt;"OK","",$E98-$D98)</f>
        <v/>
      </c>
      <c r="AN98" s="95" t="str">
        <f>IF($R98&lt;&gt;"OK","",($E98-$D98)/$D98)</f>
        <v/>
      </c>
      <c r="AO98" s="95" t="str">
        <f>IF($R98&lt;&gt;"OK","",IF($AB98&gt;0,$AN98+IF($C98="Evergreen",1000,0),""))</f>
        <v/>
      </c>
      <c r="AP98" s="78" t="str">
        <f>IF(OR($R98&lt;&gt;"OK",$AO98=""),"",COUNTIF($AO$6:$AO$205,"&gt;"&amp;$AO98)+COUNTIF($AO$6:$AO98,$AO98))</f>
        <v/>
      </c>
      <c r="AQ98" s="78" t="str">
        <f>IF(OR($R98&lt;&gt;"OK",$AP98=""),"",INDEX('Buy list'!$G$5:$G$204,$AP98))</f>
        <v/>
      </c>
      <c r="AR98" s="78" t="str">
        <f>IF($R98&lt;&gt;"OK","",IF($AB98=0,0,MIN($AB98,CEILING(MAX(0,($F98*MAX(0,MIN((Setup!$C$6+1+Setup!$C$20),(Setup!$C$5-Setup!$C$7))-Setup!$C$4)+$F98*Setup!$C$8*MAX(0,MIN((Setup!$C$6+1+Setup!$C$20),Setup!$C$5)-MAX((Setup!$C$5-Setup!$C$7),Setup!$C$4))+$W98/4*MAX(0,MIN((Setup!$C$6+1+Setup!$C$20),Setup!$C$5+4)-MAX(Setup!$C$5,Setup!$C$4))+$F98*Setup!$C$14*MAX(0,(Setup!$C$6+1+Setup!$C$20)-MAX(Setup!$C$5+4,Setup!$C$4)))+$Y98-$K98-IF(AND($L98&lt;&gt;"",$L98&gt;0),IF($M98&lt;=Setup!$C$10,$L98,0),0)),IF(OR($P98="",$P98&lt;=0),1,$P98)))))</f>
        <v/>
      </c>
      <c r="AS98" s="96" t="str">
        <f>IF($R98&lt;&gt;"OK","",IF(AND($O98&lt;&gt;"Domestic",ISNUMBER(Setup!$C$22),Setup!$C$22&gt;Setup!$C$4),Setup!$C$22,Setup!$C$4))</f>
        <v/>
      </c>
      <c r="AT98" s="96" t="str">
        <f>IF($R98&lt;&gt;"OK","",IF($AB98=0,"",IF($O98="Domestic",$AG98,$AS98+$N98+Setup!$C$27+Setup!$C$11)))</f>
        <v/>
      </c>
    </row>
    <row r="99" ht="15" customHeight="1" s="46">
      <c r="A99" s="70" t="n"/>
      <c r="B99" s="70" t="n"/>
      <c r="C99" s="70" t="n"/>
      <c r="D99" s="85" t="n"/>
      <c r="E99" s="85" t="n"/>
      <c r="F99" s="86" t="n"/>
      <c r="G99" s="87" t="n"/>
      <c r="H99" s="88" t="n"/>
      <c r="I99" s="89" t="n"/>
      <c r="J99" s="90" t="n"/>
      <c r="K99" s="87" t="n"/>
      <c r="L99" s="87" t="n"/>
      <c r="M99" s="91" t="n"/>
      <c r="N99" s="92" t="n"/>
      <c r="O99" s="70" t="n"/>
      <c r="P99" s="92" t="n"/>
      <c r="Q99" s="87" t="n"/>
      <c r="R99" s="79" t="str">
        <f>IF($A99="","",IF($C99="","Missing: type",IF(OR($D99="",$D99&lt;=0),"Missing: unit cost",IF($E99="","Missing: unit price",IF($F99="","Missing: daily sales",IF($K99="","Missing: on hand",IF($N99="","Missing: production days",IF($O99="","Missing: freight mode",IF(ISNA(MATCH($O99,Setup!$B$25:$B$29,0)),"Unknown freight mode",IF(AND($L99&lt;&gt;"",$L99&gt;0,$M99=""),"Missing: on-order arrival date","OK"))))))))))</f>
        <v/>
      </c>
      <c r="S99" s="78" t="str">
        <f>IF($R99&lt;&gt;"OK","",IF($G99="","",ROUND($G99/IF(OR($H99="",$H99&lt;=0),4,$H99)*4,0)))</f>
        <v/>
      </c>
      <c r="T99" s="78" t="str">
        <f>IF($R99&lt;&gt;"OK","",ROUND(IF($G99="",$F99*4*Setup!$C$19,$G99/IF(OR($H99="",$H99&lt;=0),4,$H99)*4*(1+IF($I99="",Setup!$C$16,$I99)))*IF($J99="",1,$J99),0))</f>
        <v/>
      </c>
      <c r="U99" s="78" t="str">
        <f>IF($R99&lt;&gt;"OK","",ROUND($T99*Setup!$C$17,0))</f>
        <v/>
      </c>
      <c r="V99" s="78" t="str">
        <f>IF($R99&lt;&gt;"OK","",ROUND($T99*Setup!$C$18,0))</f>
        <v/>
      </c>
      <c r="W99" s="78" t="str">
        <f>IF($R99&lt;&gt;"OK","",IF($C99="Evergreen",$V99,IF($C99="Seasonal or new",$U99,$T99)))</f>
        <v/>
      </c>
      <c r="X99" s="78" t="str">
        <f>IF($R99&lt;&gt;"OK","",ROUND(($F99*MAX(0,MIN(Setup!$C$13+1,(Setup!$C$5-Setup!$C$7))-Setup!$C$4)+$F99*Setup!$C$8*MAX(0,MIN(Setup!$C$13+1,Setup!$C$5)-MAX((Setup!$C$5-Setup!$C$7),Setup!$C$4))+$W99/4*MAX(0,MIN(Setup!$C$13+1,Setup!$C$5+4)-MAX(Setup!$C$5,Setup!$C$4))+$F99*Setup!$C$14*MAX(0,Setup!$C$13+1-MAX(Setup!$C$5+4,Setup!$C$4))),0))</f>
        <v/>
      </c>
      <c r="Y99" s="78" t="str">
        <f>IF($R99&lt;&gt;"OK","",ROUND($F99*Setup!$C$15,0))</f>
        <v/>
      </c>
      <c r="Z99" s="78" t="str">
        <f>IF($R99&lt;&gt;"OK","",IF(AND($L99&lt;&gt;"",$L99&gt;0),IF($M99&lt;=Setup!$C$13,$L99,0),0))</f>
        <v/>
      </c>
      <c r="AA99" s="78" t="str">
        <f>IF($R99&lt;&gt;"OK","",MAX(0,$X99+$Y99-$K99-$Z99))</f>
        <v/>
      </c>
      <c r="AB99" s="78" t="str">
        <f>IF($R99&lt;&gt;"OK","",IF($AA99=0,0,CEILING(MAX($AA99,IF($Q99="",0,$Q99)),IF(OR($P99="",$P99&lt;=0),1,$P99))))</f>
        <v/>
      </c>
      <c r="AC99" s="78" t="str">
        <f>IF($R99&lt;&gt;"OK","",$AB99*$D99)</f>
        <v/>
      </c>
      <c r="AD99" s="93" t="str">
        <f>IF($R99&lt;&gt;"OK","",INDEX(Setup!$D$25:$D$29,MATCH($O99,Setup!$B$25:$B$29,0)))</f>
        <v/>
      </c>
      <c r="AE99" s="93" t="str">
        <f>IF($R99&lt;&gt;"OK","",$AD99-$N99)</f>
        <v/>
      </c>
      <c r="AF99" s="79" t="str">
        <f>IF($R99&lt;&gt;"OK","",IF($AB99=0,"No order needed",IF($AE99&gt;=$AS99,"Order by the deadline",IF(AND($O99&lt;&gt;"Domestic",Setup!$D$27-$N99&gt;=$AS99),"Late by this mode: fly it",IF(Setup!$D$28-$N99&gt;=$AS99,"Late: Express courier only",IF($AG99&lt;Setup!$C$5,"Tight: lands before Black Friday",IF(AND($O99&lt;&gt;"Domestic",$AT99&lt;Setup!$C$5),"Tight: by Air lands before Black Friday",IF($AS99+$N99+Setup!$C$28+Setup!$C$11&lt;Setup!$C$5,"Tight: by Express lands before Black Friday","Too late: ration"))))))))</f>
        <v/>
      </c>
      <c r="AG99" s="93" t="str">
        <f>IF($R99&lt;&gt;"OK","",IF($AB99=0,"",$AS99+$N99+INDEX(Setup!$C$25:$C$29,MATCH($O99,Setup!$B$25:$B$29,0))+Setup!$C$11))</f>
        <v/>
      </c>
      <c r="AH99" s="93" t="str">
        <f>IF($R99&lt;&gt;"OK","",IF($F99&lt;=0,"",INT(IF($K99&lt;($F99*MAX(0,(Setup!$C$5-Setup!$C$7)-Setup!$C$4)),Setup!$C$4+$K99/$F99,IF($K99&lt;($F99*MAX(0,(Setup!$C$5-Setup!$C$7)-Setup!$C$4))+($F99*Setup!$C$8*MAX(0,Setup!$C$5-MAX((Setup!$C$5-Setup!$C$7),Setup!$C$4))),MAX((Setup!$C$5-Setup!$C$7),Setup!$C$4)+($K99-($F99*MAX(0,(Setup!$C$5-Setup!$C$7)-Setup!$C$4)))/($F99*Setup!$C$8),IF(AND($W99&gt;0,$K99&lt;($F99*MAX(0,(Setup!$C$5-Setup!$C$7)-Setup!$C$4))+($F99*Setup!$C$8*MAX(0,Setup!$C$5-MAX((Setup!$C$5-Setup!$C$7),Setup!$C$4)))+($W99/4*MAX(0,Setup!$C$5+4-MAX(Setup!$C$5,Setup!$C$4)))),MAX(Setup!$C$5,Setup!$C$4)+($K99-($F99*MAX(0,(Setup!$C$5-Setup!$C$7)-Setup!$C$4))-($F99*Setup!$C$8*MAX(0,Setup!$C$5-MAX((Setup!$C$5-Setup!$C$7),Setup!$C$4))))/($W99/4),MAX(Setup!$C$5+4,Setup!$C$4)+($K99-($F99*MAX(0,(Setup!$C$5-Setup!$C$7)-Setup!$C$4))-($F99*Setup!$C$8*MAX(0,Setup!$C$5-MAX((Setup!$C$5-Setup!$C$7),Setup!$C$4)))-($W99/4*MAX(0,Setup!$C$5+4-MAX(Setup!$C$5,Setup!$C$4))))/($F99*Setup!$C$14)))))))</f>
        <v/>
      </c>
      <c r="AI99" s="79" t="str">
        <f>IF($R99&lt;&gt;"OK","",IF(AND($L99&lt;&gt;"",$L99&gt;0,ISNUMBER($AH99),$M99&gt;$AH99),"Runs out before the incoming delivery arrives",IF($AB99=0,"OK",IF($K99+IF(AND($L99&lt;&gt;"",$L99&gt;0),IF($M99&lt;=$AG99,$L99,0),0)&lt;($F99*MAX(0,MIN($AG99,(Setup!$C$5-Setup!$C$7))-Setup!$C$4)+$F99*Setup!$C$8*MAX(0,MIN($AG99,Setup!$C$5)-MAX((Setup!$C$5-Setup!$C$7),Setup!$C$4))+$W99/4*MAX(0,MIN($AG99,Setup!$C$5+4)-MAX(Setup!$C$5,Setup!$C$4))+$F99*Setup!$C$14*MAX(0,$AG99-MAX(Setup!$C$5+4,Setup!$C$4))),"Runs out before this order can land","OK"))))</f>
        <v/>
      </c>
      <c r="AJ99" s="78" t="str">
        <f>IF($R99&lt;&gt;"OK","",IF($AB99=0,0,IF($AL99="Too slow: send it all fast",$AB99,$AR99)))</f>
        <v/>
      </c>
      <c r="AK99" s="78" t="str">
        <f>IF($R99&lt;&gt;"OK","",$AB99-$AJ99)</f>
        <v/>
      </c>
      <c r="AL99" s="78" t="str">
        <f>IF($R99&lt;&gt;"OK","",IF($AB99=0,"",IF($AB99-$AR99=0,"Nothing left over",IF($O99="Domestic",IF($AG99&lt;=Setup!$C$6+Setup!$C$20+1,"Later units can go by Domestic","Too slow: send it all fast"),IF($AS99+$N99+Setup!$C$25+Setup!$C$11&lt;=Setup!$C$6+Setup!$C$20+1,"Later units can go by Ocean long",IF($AS99+$N99+Setup!$C$26+Setup!$C$11&lt;=Setup!$C$6+Setup!$C$20+1,"Later units can go by Ocean short",IF($AS99+$N99+Setup!$C$27+Setup!$C$11&lt;=Setup!$C$6+Setup!$C$20+1,"Later units can go by Air",IF($AS99+$N99+Setup!$C$28+Setup!$C$11&lt;=Setup!$C$6+Setup!$C$20+1,"Later units can go by Express","Too slow: send it all fast"))))))))</f>
        <v/>
      </c>
      <c r="AM99" s="94" t="str">
        <f>IF($R99&lt;&gt;"OK","",$E99-$D99)</f>
        <v/>
      </c>
      <c r="AN99" s="95" t="str">
        <f>IF($R99&lt;&gt;"OK","",($E99-$D99)/$D99)</f>
        <v/>
      </c>
      <c r="AO99" s="95" t="str">
        <f>IF($R99&lt;&gt;"OK","",IF($AB99&gt;0,$AN99+IF($C99="Evergreen",1000,0),""))</f>
        <v/>
      </c>
      <c r="AP99" s="78" t="str">
        <f>IF(OR($R99&lt;&gt;"OK",$AO99=""),"",COUNTIF($AO$6:$AO$205,"&gt;"&amp;$AO99)+COUNTIF($AO$6:$AO99,$AO99))</f>
        <v/>
      </c>
      <c r="AQ99" s="78" t="str">
        <f>IF(OR($R99&lt;&gt;"OK",$AP99=""),"",INDEX('Buy list'!$G$5:$G$204,$AP99))</f>
        <v/>
      </c>
      <c r="AR99" s="78" t="str">
        <f>IF($R99&lt;&gt;"OK","",IF($AB99=0,0,MIN($AB99,CEILING(MAX(0,($F99*MAX(0,MIN((Setup!$C$6+1+Setup!$C$20),(Setup!$C$5-Setup!$C$7))-Setup!$C$4)+$F99*Setup!$C$8*MAX(0,MIN((Setup!$C$6+1+Setup!$C$20),Setup!$C$5)-MAX((Setup!$C$5-Setup!$C$7),Setup!$C$4))+$W99/4*MAX(0,MIN((Setup!$C$6+1+Setup!$C$20),Setup!$C$5+4)-MAX(Setup!$C$5,Setup!$C$4))+$F99*Setup!$C$14*MAX(0,(Setup!$C$6+1+Setup!$C$20)-MAX(Setup!$C$5+4,Setup!$C$4)))+$Y99-$K99-IF(AND($L99&lt;&gt;"",$L99&gt;0),IF($M99&lt;=Setup!$C$10,$L99,0),0)),IF(OR($P99="",$P99&lt;=0),1,$P99)))))</f>
        <v/>
      </c>
      <c r="AS99" s="96" t="str">
        <f>IF($R99&lt;&gt;"OK","",IF(AND($O99&lt;&gt;"Domestic",ISNUMBER(Setup!$C$22),Setup!$C$22&gt;Setup!$C$4),Setup!$C$22,Setup!$C$4))</f>
        <v/>
      </c>
      <c r="AT99" s="96" t="str">
        <f>IF($R99&lt;&gt;"OK","",IF($AB99=0,"",IF($O99="Domestic",$AG99,$AS99+$N99+Setup!$C$27+Setup!$C$11)))</f>
        <v/>
      </c>
    </row>
    <row r="100" ht="15" customHeight="1" s="46">
      <c r="A100" s="70" t="n"/>
      <c r="B100" s="70" t="n"/>
      <c r="C100" s="70" t="n"/>
      <c r="D100" s="85" t="n"/>
      <c r="E100" s="85" t="n"/>
      <c r="F100" s="86" t="n"/>
      <c r="G100" s="87" t="n"/>
      <c r="H100" s="88" t="n"/>
      <c r="I100" s="89" t="n"/>
      <c r="J100" s="90" t="n"/>
      <c r="K100" s="87" t="n"/>
      <c r="L100" s="87" t="n"/>
      <c r="M100" s="91" t="n"/>
      <c r="N100" s="92" t="n"/>
      <c r="O100" s="70" t="n"/>
      <c r="P100" s="92" t="n"/>
      <c r="Q100" s="87" t="n"/>
      <c r="R100" s="79" t="str">
        <f>IF($A100="","",IF($C100="","Missing: type",IF(OR($D100="",$D100&lt;=0),"Missing: unit cost",IF($E100="","Missing: unit price",IF($F100="","Missing: daily sales",IF($K100="","Missing: on hand",IF($N100="","Missing: production days",IF($O100="","Missing: freight mode",IF(ISNA(MATCH($O100,Setup!$B$25:$B$29,0)),"Unknown freight mode",IF(AND($L100&lt;&gt;"",$L100&gt;0,$M100=""),"Missing: on-order arrival date","OK"))))))))))</f>
        <v/>
      </c>
      <c r="S100" s="78" t="str">
        <f>IF($R100&lt;&gt;"OK","",IF($G100="","",ROUND($G100/IF(OR($H100="",$H100&lt;=0),4,$H100)*4,0)))</f>
        <v/>
      </c>
      <c r="T100" s="78" t="str">
        <f>IF($R100&lt;&gt;"OK","",ROUND(IF($G100="",$F100*4*Setup!$C$19,$G100/IF(OR($H100="",$H100&lt;=0),4,$H100)*4*(1+IF($I100="",Setup!$C$16,$I100)))*IF($J100="",1,$J100),0))</f>
        <v/>
      </c>
      <c r="U100" s="78" t="str">
        <f>IF($R100&lt;&gt;"OK","",ROUND($T100*Setup!$C$17,0))</f>
        <v/>
      </c>
      <c r="V100" s="78" t="str">
        <f>IF($R100&lt;&gt;"OK","",ROUND($T100*Setup!$C$18,0))</f>
        <v/>
      </c>
      <c r="W100" s="78" t="str">
        <f>IF($R100&lt;&gt;"OK","",IF($C100="Evergreen",$V100,IF($C100="Seasonal or new",$U100,$T100)))</f>
        <v/>
      </c>
      <c r="X100" s="78" t="str">
        <f>IF($R100&lt;&gt;"OK","",ROUND(($F100*MAX(0,MIN(Setup!$C$13+1,(Setup!$C$5-Setup!$C$7))-Setup!$C$4)+$F100*Setup!$C$8*MAX(0,MIN(Setup!$C$13+1,Setup!$C$5)-MAX((Setup!$C$5-Setup!$C$7),Setup!$C$4))+$W100/4*MAX(0,MIN(Setup!$C$13+1,Setup!$C$5+4)-MAX(Setup!$C$5,Setup!$C$4))+$F100*Setup!$C$14*MAX(0,Setup!$C$13+1-MAX(Setup!$C$5+4,Setup!$C$4))),0))</f>
        <v/>
      </c>
      <c r="Y100" s="78" t="str">
        <f>IF($R100&lt;&gt;"OK","",ROUND($F100*Setup!$C$15,0))</f>
        <v/>
      </c>
      <c r="Z100" s="78" t="str">
        <f>IF($R100&lt;&gt;"OK","",IF(AND($L100&lt;&gt;"",$L100&gt;0),IF($M100&lt;=Setup!$C$13,$L100,0),0))</f>
        <v/>
      </c>
      <c r="AA100" s="78" t="str">
        <f>IF($R100&lt;&gt;"OK","",MAX(0,$X100+$Y100-$K100-$Z100))</f>
        <v/>
      </c>
      <c r="AB100" s="78" t="str">
        <f>IF($R100&lt;&gt;"OK","",IF($AA100=0,0,CEILING(MAX($AA100,IF($Q100="",0,$Q100)),IF(OR($P100="",$P100&lt;=0),1,$P100))))</f>
        <v/>
      </c>
      <c r="AC100" s="78" t="str">
        <f>IF($R100&lt;&gt;"OK","",$AB100*$D100)</f>
        <v/>
      </c>
      <c r="AD100" s="93" t="str">
        <f>IF($R100&lt;&gt;"OK","",INDEX(Setup!$D$25:$D$29,MATCH($O100,Setup!$B$25:$B$29,0)))</f>
        <v/>
      </c>
      <c r="AE100" s="93" t="str">
        <f>IF($R100&lt;&gt;"OK","",$AD100-$N100)</f>
        <v/>
      </c>
      <c r="AF100" s="79" t="str">
        <f>IF($R100&lt;&gt;"OK","",IF($AB100=0,"No order needed",IF($AE100&gt;=$AS100,"Order by the deadline",IF(AND($O100&lt;&gt;"Domestic",Setup!$D$27-$N100&gt;=$AS100),"Late by this mode: fly it",IF(Setup!$D$28-$N100&gt;=$AS100,"Late: Express courier only",IF($AG100&lt;Setup!$C$5,"Tight: lands before Black Friday",IF(AND($O100&lt;&gt;"Domestic",$AT100&lt;Setup!$C$5),"Tight: by Air lands before Black Friday",IF($AS100+$N100+Setup!$C$28+Setup!$C$11&lt;Setup!$C$5,"Tight: by Express lands before Black Friday","Too late: ration"))))))))</f>
        <v/>
      </c>
      <c r="AG100" s="93" t="str">
        <f>IF($R100&lt;&gt;"OK","",IF($AB100=0,"",$AS100+$N100+INDEX(Setup!$C$25:$C$29,MATCH($O100,Setup!$B$25:$B$29,0))+Setup!$C$11))</f>
        <v/>
      </c>
      <c r="AH100" s="93" t="str">
        <f>IF($R100&lt;&gt;"OK","",IF($F100&lt;=0,"",INT(IF($K100&lt;($F100*MAX(0,(Setup!$C$5-Setup!$C$7)-Setup!$C$4)),Setup!$C$4+$K100/$F100,IF($K100&lt;($F100*MAX(0,(Setup!$C$5-Setup!$C$7)-Setup!$C$4))+($F100*Setup!$C$8*MAX(0,Setup!$C$5-MAX((Setup!$C$5-Setup!$C$7),Setup!$C$4))),MAX((Setup!$C$5-Setup!$C$7),Setup!$C$4)+($K100-($F100*MAX(0,(Setup!$C$5-Setup!$C$7)-Setup!$C$4)))/($F100*Setup!$C$8),IF(AND($W100&gt;0,$K100&lt;($F100*MAX(0,(Setup!$C$5-Setup!$C$7)-Setup!$C$4))+($F100*Setup!$C$8*MAX(0,Setup!$C$5-MAX((Setup!$C$5-Setup!$C$7),Setup!$C$4)))+($W100/4*MAX(0,Setup!$C$5+4-MAX(Setup!$C$5,Setup!$C$4)))),MAX(Setup!$C$5,Setup!$C$4)+($K100-($F100*MAX(0,(Setup!$C$5-Setup!$C$7)-Setup!$C$4))-($F100*Setup!$C$8*MAX(0,Setup!$C$5-MAX((Setup!$C$5-Setup!$C$7),Setup!$C$4))))/($W100/4),MAX(Setup!$C$5+4,Setup!$C$4)+($K100-($F100*MAX(0,(Setup!$C$5-Setup!$C$7)-Setup!$C$4))-($F100*Setup!$C$8*MAX(0,Setup!$C$5-MAX((Setup!$C$5-Setup!$C$7),Setup!$C$4)))-($W100/4*MAX(0,Setup!$C$5+4-MAX(Setup!$C$5,Setup!$C$4))))/($F100*Setup!$C$14)))))))</f>
        <v/>
      </c>
      <c r="AI100" s="79" t="str">
        <f>IF($R100&lt;&gt;"OK","",IF(AND($L100&lt;&gt;"",$L100&gt;0,ISNUMBER($AH100),$M100&gt;$AH100),"Runs out before the incoming delivery arrives",IF($AB100=0,"OK",IF($K100+IF(AND($L100&lt;&gt;"",$L100&gt;0),IF($M100&lt;=$AG100,$L100,0),0)&lt;($F100*MAX(0,MIN($AG100,(Setup!$C$5-Setup!$C$7))-Setup!$C$4)+$F100*Setup!$C$8*MAX(0,MIN($AG100,Setup!$C$5)-MAX((Setup!$C$5-Setup!$C$7),Setup!$C$4))+$W100/4*MAX(0,MIN($AG100,Setup!$C$5+4)-MAX(Setup!$C$5,Setup!$C$4))+$F100*Setup!$C$14*MAX(0,$AG100-MAX(Setup!$C$5+4,Setup!$C$4))),"Runs out before this order can land","OK"))))</f>
        <v/>
      </c>
      <c r="AJ100" s="78" t="str">
        <f>IF($R100&lt;&gt;"OK","",IF($AB100=0,0,IF($AL100="Too slow: send it all fast",$AB100,$AR100)))</f>
        <v/>
      </c>
      <c r="AK100" s="78" t="str">
        <f>IF($R100&lt;&gt;"OK","",$AB100-$AJ100)</f>
        <v/>
      </c>
      <c r="AL100" s="78" t="str">
        <f>IF($R100&lt;&gt;"OK","",IF($AB100=0,"",IF($AB100-$AR100=0,"Nothing left over",IF($O100="Domestic",IF($AG100&lt;=Setup!$C$6+Setup!$C$20+1,"Later units can go by Domestic","Too slow: send it all fast"),IF($AS100+$N100+Setup!$C$25+Setup!$C$11&lt;=Setup!$C$6+Setup!$C$20+1,"Later units can go by Ocean long",IF($AS100+$N100+Setup!$C$26+Setup!$C$11&lt;=Setup!$C$6+Setup!$C$20+1,"Later units can go by Ocean short",IF($AS100+$N100+Setup!$C$27+Setup!$C$11&lt;=Setup!$C$6+Setup!$C$20+1,"Later units can go by Air",IF($AS100+$N100+Setup!$C$28+Setup!$C$11&lt;=Setup!$C$6+Setup!$C$20+1,"Later units can go by Express","Too slow: send it all fast"))))))))</f>
        <v/>
      </c>
      <c r="AM100" s="94" t="str">
        <f>IF($R100&lt;&gt;"OK","",$E100-$D100)</f>
        <v/>
      </c>
      <c r="AN100" s="95" t="str">
        <f>IF($R100&lt;&gt;"OK","",($E100-$D100)/$D100)</f>
        <v/>
      </c>
      <c r="AO100" s="95" t="str">
        <f>IF($R100&lt;&gt;"OK","",IF($AB100&gt;0,$AN100+IF($C100="Evergreen",1000,0),""))</f>
        <v/>
      </c>
      <c r="AP100" s="78" t="str">
        <f>IF(OR($R100&lt;&gt;"OK",$AO100=""),"",COUNTIF($AO$6:$AO$205,"&gt;"&amp;$AO100)+COUNTIF($AO$6:$AO100,$AO100))</f>
        <v/>
      </c>
      <c r="AQ100" s="78" t="str">
        <f>IF(OR($R100&lt;&gt;"OK",$AP100=""),"",INDEX('Buy list'!$G$5:$G$204,$AP100))</f>
        <v/>
      </c>
      <c r="AR100" s="78" t="str">
        <f>IF($R100&lt;&gt;"OK","",IF($AB100=0,0,MIN($AB100,CEILING(MAX(0,($F100*MAX(0,MIN((Setup!$C$6+1+Setup!$C$20),(Setup!$C$5-Setup!$C$7))-Setup!$C$4)+$F100*Setup!$C$8*MAX(0,MIN((Setup!$C$6+1+Setup!$C$20),Setup!$C$5)-MAX((Setup!$C$5-Setup!$C$7),Setup!$C$4))+$W100/4*MAX(0,MIN((Setup!$C$6+1+Setup!$C$20),Setup!$C$5+4)-MAX(Setup!$C$5,Setup!$C$4))+$F100*Setup!$C$14*MAX(0,(Setup!$C$6+1+Setup!$C$20)-MAX(Setup!$C$5+4,Setup!$C$4)))+$Y100-$K100-IF(AND($L100&lt;&gt;"",$L100&gt;0),IF($M100&lt;=Setup!$C$10,$L100,0),0)),IF(OR($P100="",$P100&lt;=0),1,$P100)))))</f>
        <v/>
      </c>
      <c r="AS100" s="96" t="str">
        <f>IF($R100&lt;&gt;"OK","",IF(AND($O100&lt;&gt;"Domestic",ISNUMBER(Setup!$C$22),Setup!$C$22&gt;Setup!$C$4),Setup!$C$22,Setup!$C$4))</f>
        <v/>
      </c>
      <c r="AT100" s="96" t="str">
        <f>IF($R100&lt;&gt;"OK","",IF($AB100=0,"",IF($O100="Domestic",$AG100,$AS100+$N100+Setup!$C$27+Setup!$C$11)))</f>
        <v/>
      </c>
    </row>
    <row r="101" ht="15" customHeight="1" s="46">
      <c r="A101" s="70" t="n"/>
      <c r="B101" s="70" t="n"/>
      <c r="C101" s="70" t="n"/>
      <c r="D101" s="85" t="n"/>
      <c r="E101" s="85" t="n"/>
      <c r="F101" s="86" t="n"/>
      <c r="G101" s="87" t="n"/>
      <c r="H101" s="88" t="n"/>
      <c r="I101" s="89" t="n"/>
      <c r="J101" s="90" t="n"/>
      <c r="K101" s="87" t="n"/>
      <c r="L101" s="87" t="n"/>
      <c r="M101" s="91" t="n"/>
      <c r="N101" s="92" t="n"/>
      <c r="O101" s="70" t="n"/>
      <c r="P101" s="92" t="n"/>
      <c r="Q101" s="87" t="n"/>
      <c r="R101" s="79" t="str">
        <f>IF($A101="","",IF($C101="","Missing: type",IF(OR($D101="",$D101&lt;=0),"Missing: unit cost",IF($E101="","Missing: unit price",IF($F101="","Missing: daily sales",IF($K101="","Missing: on hand",IF($N101="","Missing: production days",IF($O101="","Missing: freight mode",IF(ISNA(MATCH($O101,Setup!$B$25:$B$29,0)),"Unknown freight mode",IF(AND($L101&lt;&gt;"",$L101&gt;0,$M101=""),"Missing: on-order arrival date","OK"))))))))))</f>
        <v/>
      </c>
      <c r="S101" s="78" t="str">
        <f>IF($R101&lt;&gt;"OK","",IF($G101="","",ROUND($G101/IF(OR($H101="",$H101&lt;=0),4,$H101)*4,0)))</f>
        <v/>
      </c>
      <c r="T101" s="78" t="str">
        <f>IF($R101&lt;&gt;"OK","",ROUND(IF($G101="",$F101*4*Setup!$C$19,$G101/IF(OR($H101="",$H101&lt;=0),4,$H101)*4*(1+IF($I101="",Setup!$C$16,$I101)))*IF($J101="",1,$J101),0))</f>
        <v/>
      </c>
      <c r="U101" s="78" t="str">
        <f>IF($R101&lt;&gt;"OK","",ROUND($T101*Setup!$C$17,0))</f>
        <v/>
      </c>
      <c r="V101" s="78" t="str">
        <f>IF($R101&lt;&gt;"OK","",ROUND($T101*Setup!$C$18,0))</f>
        <v/>
      </c>
      <c r="W101" s="78" t="str">
        <f>IF($R101&lt;&gt;"OK","",IF($C101="Evergreen",$V101,IF($C101="Seasonal or new",$U101,$T101)))</f>
        <v/>
      </c>
      <c r="X101" s="78" t="str">
        <f>IF($R101&lt;&gt;"OK","",ROUND(($F101*MAX(0,MIN(Setup!$C$13+1,(Setup!$C$5-Setup!$C$7))-Setup!$C$4)+$F101*Setup!$C$8*MAX(0,MIN(Setup!$C$13+1,Setup!$C$5)-MAX((Setup!$C$5-Setup!$C$7),Setup!$C$4))+$W101/4*MAX(0,MIN(Setup!$C$13+1,Setup!$C$5+4)-MAX(Setup!$C$5,Setup!$C$4))+$F101*Setup!$C$14*MAX(0,Setup!$C$13+1-MAX(Setup!$C$5+4,Setup!$C$4))),0))</f>
        <v/>
      </c>
      <c r="Y101" s="78" t="str">
        <f>IF($R101&lt;&gt;"OK","",ROUND($F101*Setup!$C$15,0))</f>
        <v/>
      </c>
      <c r="Z101" s="78" t="str">
        <f>IF($R101&lt;&gt;"OK","",IF(AND($L101&lt;&gt;"",$L101&gt;0),IF($M101&lt;=Setup!$C$13,$L101,0),0))</f>
        <v/>
      </c>
      <c r="AA101" s="78" t="str">
        <f>IF($R101&lt;&gt;"OK","",MAX(0,$X101+$Y101-$K101-$Z101))</f>
        <v/>
      </c>
      <c r="AB101" s="78" t="str">
        <f>IF($R101&lt;&gt;"OK","",IF($AA101=0,0,CEILING(MAX($AA101,IF($Q101="",0,$Q101)),IF(OR($P101="",$P101&lt;=0),1,$P101))))</f>
        <v/>
      </c>
      <c r="AC101" s="78" t="str">
        <f>IF($R101&lt;&gt;"OK","",$AB101*$D101)</f>
        <v/>
      </c>
      <c r="AD101" s="93" t="str">
        <f>IF($R101&lt;&gt;"OK","",INDEX(Setup!$D$25:$D$29,MATCH($O101,Setup!$B$25:$B$29,0)))</f>
        <v/>
      </c>
      <c r="AE101" s="93" t="str">
        <f>IF($R101&lt;&gt;"OK","",$AD101-$N101)</f>
        <v/>
      </c>
      <c r="AF101" s="79" t="str">
        <f>IF($R101&lt;&gt;"OK","",IF($AB101=0,"No order needed",IF($AE101&gt;=$AS101,"Order by the deadline",IF(AND($O101&lt;&gt;"Domestic",Setup!$D$27-$N101&gt;=$AS101),"Late by this mode: fly it",IF(Setup!$D$28-$N101&gt;=$AS101,"Late: Express courier only",IF($AG101&lt;Setup!$C$5,"Tight: lands before Black Friday",IF(AND($O101&lt;&gt;"Domestic",$AT101&lt;Setup!$C$5),"Tight: by Air lands before Black Friday",IF($AS101+$N101+Setup!$C$28+Setup!$C$11&lt;Setup!$C$5,"Tight: by Express lands before Black Friday","Too late: ration"))))))))</f>
        <v/>
      </c>
      <c r="AG101" s="93" t="str">
        <f>IF($R101&lt;&gt;"OK","",IF($AB101=0,"",$AS101+$N101+INDEX(Setup!$C$25:$C$29,MATCH($O101,Setup!$B$25:$B$29,0))+Setup!$C$11))</f>
        <v/>
      </c>
      <c r="AH101" s="93" t="str">
        <f>IF($R101&lt;&gt;"OK","",IF($F101&lt;=0,"",INT(IF($K101&lt;($F101*MAX(0,(Setup!$C$5-Setup!$C$7)-Setup!$C$4)),Setup!$C$4+$K101/$F101,IF($K101&lt;($F101*MAX(0,(Setup!$C$5-Setup!$C$7)-Setup!$C$4))+($F101*Setup!$C$8*MAX(0,Setup!$C$5-MAX((Setup!$C$5-Setup!$C$7),Setup!$C$4))),MAX((Setup!$C$5-Setup!$C$7),Setup!$C$4)+($K101-($F101*MAX(0,(Setup!$C$5-Setup!$C$7)-Setup!$C$4)))/($F101*Setup!$C$8),IF(AND($W101&gt;0,$K101&lt;($F101*MAX(0,(Setup!$C$5-Setup!$C$7)-Setup!$C$4))+($F101*Setup!$C$8*MAX(0,Setup!$C$5-MAX((Setup!$C$5-Setup!$C$7),Setup!$C$4)))+($W101/4*MAX(0,Setup!$C$5+4-MAX(Setup!$C$5,Setup!$C$4)))),MAX(Setup!$C$5,Setup!$C$4)+($K101-($F101*MAX(0,(Setup!$C$5-Setup!$C$7)-Setup!$C$4))-($F101*Setup!$C$8*MAX(0,Setup!$C$5-MAX((Setup!$C$5-Setup!$C$7),Setup!$C$4))))/($W101/4),MAX(Setup!$C$5+4,Setup!$C$4)+($K101-($F101*MAX(0,(Setup!$C$5-Setup!$C$7)-Setup!$C$4))-($F101*Setup!$C$8*MAX(0,Setup!$C$5-MAX((Setup!$C$5-Setup!$C$7),Setup!$C$4)))-($W101/4*MAX(0,Setup!$C$5+4-MAX(Setup!$C$5,Setup!$C$4))))/($F101*Setup!$C$14)))))))</f>
        <v/>
      </c>
      <c r="AI101" s="79" t="str">
        <f>IF($R101&lt;&gt;"OK","",IF(AND($L101&lt;&gt;"",$L101&gt;0,ISNUMBER($AH101),$M101&gt;$AH101),"Runs out before the incoming delivery arrives",IF($AB101=0,"OK",IF($K101+IF(AND($L101&lt;&gt;"",$L101&gt;0),IF($M101&lt;=$AG101,$L101,0),0)&lt;($F101*MAX(0,MIN($AG101,(Setup!$C$5-Setup!$C$7))-Setup!$C$4)+$F101*Setup!$C$8*MAX(0,MIN($AG101,Setup!$C$5)-MAX((Setup!$C$5-Setup!$C$7),Setup!$C$4))+$W101/4*MAX(0,MIN($AG101,Setup!$C$5+4)-MAX(Setup!$C$5,Setup!$C$4))+$F101*Setup!$C$14*MAX(0,$AG101-MAX(Setup!$C$5+4,Setup!$C$4))),"Runs out before this order can land","OK"))))</f>
        <v/>
      </c>
      <c r="AJ101" s="78" t="str">
        <f>IF($R101&lt;&gt;"OK","",IF($AB101=0,0,IF($AL101="Too slow: send it all fast",$AB101,$AR101)))</f>
        <v/>
      </c>
      <c r="AK101" s="78" t="str">
        <f>IF($R101&lt;&gt;"OK","",$AB101-$AJ101)</f>
        <v/>
      </c>
      <c r="AL101" s="78" t="str">
        <f>IF($R101&lt;&gt;"OK","",IF($AB101=0,"",IF($AB101-$AR101=0,"Nothing left over",IF($O101="Domestic",IF($AG101&lt;=Setup!$C$6+Setup!$C$20+1,"Later units can go by Domestic","Too slow: send it all fast"),IF($AS101+$N101+Setup!$C$25+Setup!$C$11&lt;=Setup!$C$6+Setup!$C$20+1,"Later units can go by Ocean long",IF($AS101+$N101+Setup!$C$26+Setup!$C$11&lt;=Setup!$C$6+Setup!$C$20+1,"Later units can go by Ocean short",IF($AS101+$N101+Setup!$C$27+Setup!$C$11&lt;=Setup!$C$6+Setup!$C$20+1,"Later units can go by Air",IF($AS101+$N101+Setup!$C$28+Setup!$C$11&lt;=Setup!$C$6+Setup!$C$20+1,"Later units can go by Express","Too slow: send it all fast"))))))))</f>
        <v/>
      </c>
      <c r="AM101" s="94" t="str">
        <f>IF($R101&lt;&gt;"OK","",$E101-$D101)</f>
        <v/>
      </c>
      <c r="AN101" s="95" t="str">
        <f>IF($R101&lt;&gt;"OK","",($E101-$D101)/$D101)</f>
        <v/>
      </c>
      <c r="AO101" s="95" t="str">
        <f>IF($R101&lt;&gt;"OK","",IF($AB101&gt;0,$AN101+IF($C101="Evergreen",1000,0),""))</f>
        <v/>
      </c>
      <c r="AP101" s="78" t="str">
        <f>IF(OR($R101&lt;&gt;"OK",$AO101=""),"",COUNTIF($AO$6:$AO$205,"&gt;"&amp;$AO101)+COUNTIF($AO$6:$AO101,$AO101))</f>
        <v/>
      </c>
      <c r="AQ101" s="78" t="str">
        <f>IF(OR($R101&lt;&gt;"OK",$AP101=""),"",INDEX('Buy list'!$G$5:$G$204,$AP101))</f>
        <v/>
      </c>
      <c r="AR101" s="78" t="str">
        <f>IF($R101&lt;&gt;"OK","",IF($AB101=0,0,MIN($AB101,CEILING(MAX(0,($F101*MAX(0,MIN((Setup!$C$6+1+Setup!$C$20),(Setup!$C$5-Setup!$C$7))-Setup!$C$4)+$F101*Setup!$C$8*MAX(0,MIN((Setup!$C$6+1+Setup!$C$20),Setup!$C$5)-MAX((Setup!$C$5-Setup!$C$7),Setup!$C$4))+$W101/4*MAX(0,MIN((Setup!$C$6+1+Setup!$C$20),Setup!$C$5+4)-MAX(Setup!$C$5,Setup!$C$4))+$F101*Setup!$C$14*MAX(0,(Setup!$C$6+1+Setup!$C$20)-MAX(Setup!$C$5+4,Setup!$C$4)))+$Y101-$K101-IF(AND($L101&lt;&gt;"",$L101&gt;0),IF($M101&lt;=Setup!$C$10,$L101,0),0)),IF(OR($P101="",$P101&lt;=0),1,$P101)))))</f>
        <v/>
      </c>
      <c r="AS101" s="96" t="str">
        <f>IF($R101&lt;&gt;"OK","",IF(AND($O101&lt;&gt;"Domestic",ISNUMBER(Setup!$C$22),Setup!$C$22&gt;Setup!$C$4),Setup!$C$22,Setup!$C$4))</f>
        <v/>
      </c>
      <c r="AT101" s="96" t="str">
        <f>IF($R101&lt;&gt;"OK","",IF($AB101=0,"",IF($O101="Domestic",$AG101,$AS101+$N101+Setup!$C$27+Setup!$C$11)))</f>
        <v/>
      </c>
    </row>
    <row r="102" ht="15" customHeight="1" s="46">
      <c r="A102" s="70" t="n"/>
      <c r="B102" s="70" t="n"/>
      <c r="C102" s="70" t="n"/>
      <c r="D102" s="85" t="n"/>
      <c r="E102" s="85" t="n"/>
      <c r="F102" s="86" t="n"/>
      <c r="G102" s="87" t="n"/>
      <c r="H102" s="88" t="n"/>
      <c r="I102" s="89" t="n"/>
      <c r="J102" s="90" t="n"/>
      <c r="K102" s="87" t="n"/>
      <c r="L102" s="87" t="n"/>
      <c r="M102" s="91" t="n"/>
      <c r="N102" s="92" t="n"/>
      <c r="O102" s="70" t="n"/>
      <c r="P102" s="92" t="n"/>
      <c r="Q102" s="87" t="n"/>
      <c r="R102" s="79" t="str">
        <f>IF($A102="","",IF($C102="","Missing: type",IF(OR($D102="",$D102&lt;=0),"Missing: unit cost",IF($E102="","Missing: unit price",IF($F102="","Missing: daily sales",IF($K102="","Missing: on hand",IF($N102="","Missing: production days",IF($O102="","Missing: freight mode",IF(ISNA(MATCH($O102,Setup!$B$25:$B$29,0)),"Unknown freight mode",IF(AND($L102&lt;&gt;"",$L102&gt;0,$M102=""),"Missing: on-order arrival date","OK"))))))))))</f>
        <v/>
      </c>
      <c r="S102" s="78" t="str">
        <f>IF($R102&lt;&gt;"OK","",IF($G102="","",ROUND($G102/IF(OR($H102="",$H102&lt;=0),4,$H102)*4,0)))</f>
        <v/>
      </c>
      <c r="T102" s="78" t="str">
        <f>IF($R102&lt;&gt;"OK","",ROUND(IF($G102="",$F102*4*Setup!$C$19,$G102/IF(OR($H102="",$H102&lt;=0),4,$H102)*4*(1+IF($I102="",Setup!$C$16,$I102)))*IF($J102="",1,$J102),0))</f>
        <v/>
      </c>
      <c r="U102" s="78" t="str">
        <f>IF($R102&lt;&gt;"OK","",ROUND($T102*Setup!$C$17,0))</f>
        <v/>
      </c>
      <c r="V102" s="78" t="str">
        <f>IF($R102&lt;&gt;"OK","",ROUND($T102*Setup!$C$18,0))</f>
        <v/>
      </c>
      <c r="W102" s="78" t="str">
        <f>IF($R102&lt;&gt;"OK","",IF($C102="Evergreen",$V102,IF($C102="Seasonal or new",$U102,$T102)))</f>
        <v/>
      </c>
      <c r="X102" s="78" t="str">
        <f>IF($R102&lt;&gt;"OK","",ROUND(($F102*MAX(0,MIN(Setup!$C$13+1,(Setup!$C$5-Setup!$C$7))-Setup!$C$4)+$F102*Setup!$C$8*MAX(0,MIN(Setup!$C$13+1,Setup!$C$5)-MAX((Setup!$C$5-Setup!$C$7),Setup!$C$4))+$W102/4*MAX(0,MIN(Setup!$C$13+1,Setup!$C$5+4)-MAX(Setup!$C$5,Setup!$C$4))+$F102*Setup!$C$14*MAX(0,Setup!$C$13+1-MAX(Setup!$C$5+4,Setup!$C$4))),0))</f>
        <v/>
      </c>
      <c r="Y102" s="78" t="str">
        <f>IF($R102&lt;&gt;"OK","",ROUND($F102*Setup!$C$15,0))</f>
        <v/>
      </c>
      <c r="Z102" s="78" t="str">
        <f>IF($R102&lt;&gt;"OK","",IF(AND($L102&lt;&gt;"",$L102&gt;0),IF($M102&lt;=Setup!$C$13,$L102,0),0))</f>
        <v/>
      </c>
      <c r="AA102" s="78" t="str">
        <f>IF($R102&lt;&gt;"OK","",MAX(0,$X102+$Y102-$K102-$Z102))</f>
        <v/>
      </c>
      <c r="AB102" s="78" t="str">
        <f>IF($R102&lt;&gt;"OK","",IF($AA102=0,0,CEILING(MAX($AA102,IF($Q102="",0,$Q102)),IF(OR($P102="",$P102&lt;=0),1,$P102))))</f>
        <v/>
      </c>
      <c r="AC102" s="78" t="str">
        <f>IF($R102&lt;&gt;"OK","",$AB102*$D102)</f>
        <v/>
      </c>
      <c r="AD102" s="93" t="str">
        <f>IF($R102&lt;&gt;"OK","",INDEX(Setup!$D$25:$D$29,MATCH($O102,Setup!$B$25:$B$29,0)))</f>
        <v/>
      </c>
      <c r="AE102" s="93" t="str">
        <f>IF($R102&lt;&gt;"OK","",$AD102-$N102)</f>
        <v/>
      </c>
      <c r="AF102" s="79" t="str">
        <f>IF($R102&lt;&gt;"OK","",IF($AB102=0,"No order needed",IF($AE102&gt;=$AS102,"Order by the deadline",IF(AND($O102&lt;&gt;"Domestic",Setup!$D$27-$N102&gt;=$AS102),"Late by this mode: fly it",IF(Setup!$D$28-$N102&gt;=$AS102,"Late: Express courier only",IF($AG102&lt;Setup!$C$5,"Tight: lands before Black Friday",IF(AND($O102&lt;&gt;"Domestic",$AT102&lt;Setup!$C$5),"Tight: by Air lands before Black Friday",IF($AS102+$N102+Setup!$C$28+Setup!$C$11&lt;Setup!$C$5,"Tight: by Express lands before Black Friday","Too late: ration"))))))))</f>
        <v/>
      </c>
      <c r="AG102" s="93" t="str">
        <f>IF($R102&lt;&gt;"OK","",IF($AB102=0,"",$AS102+$N102+INDEX(Setup!$C$25:$C$29,MATCH($O102,Setup!$B$25:$B$29,0))+Setup!$C$11))</f>
        <v/>
      </c>
      <c r="AH102" s="93" t="str">
        <f>IF($R102&lt;&gt;"OK","",IF($F102&lt;=0,"",INT(IF($K102&lt;($F102*MAX(0,(Setup!$C$5-Setup!$C$7)-Setup!$C$4)),Setup!$C$4+$K102/$F102,IF($K102&lt;($F102*MAX(0,(Setup!$C$5-Setup!$C$7)-Setup!$C$4))+($F102*Setup!$C$8*MAX(0,Setup!$C$5-MAX((Setup!$C$5-Setup!$C$7),Setup!$C$4))),MAX((Setup!$C$5-Setup!$C$7),Setup!$C$4)+($K102-($F102*MAX(0,(Setup!$C$5-Setup!$C$7)-Setup!$C$4)))/($F102*Setup!$C$8),IF(AND($W102&gt;0,$K102&lt;($F102*MAX(0,(Setup!$C$5-Setup!$C$7)-Setup!$C$4))+($F102*Setup!$C$8*MAX(0,Setup!$C$5-MAX((Setup!$C$5-Setup!$C$7),Setup!$C$4)))+($W102/4*MAX(0,Setup!$C$5+4-MAX(Setup!$C$5,Setup!$C$4)))),MAX(Setup!$C$5,Setup!$C$4)+($K102-($F102*MAX(0,(Setup!$C$5-Setup!$C$7)-Setup!$C$4))-($F102*Setup!$C$8*MAX(0,Setup!$C$5-MAX((Setup!$C$5-Setup!$C$7),Setup!$C$4))))/($W102/4),MAX(Setup!$C$5+4,Setup!$C$4)+($K102-($F102*MAX(0,(Setup!$C$5-Setup!$C$7)-Setup!$C$4))-($F102*Setup!$C$8*MAX(0,Setup!$C$5-MAX((Setup!$C$5-Setup!$C$7),Setup!$C$4)))-($W102/4*MAX(0,Setup!$C$5+4-MAX(Setup!$C$5,Setup!$C$4))))/($F102*Setup!$C$14)))))))</f>
        <v/>
      </c>
      <c r="AI102" s="79" t="str">
        <f>IF($R102&lt;&gt;"OK","",IF(AND($L102&lt;&gt;"",$L102&gt;0,ISNUMBER($AH102),$M102&gt;$AH102),"Runs out before the incoming delivery arrives",IF($AB102=0,"OK",IF($K102+IF(AND($L102&lt;&gt;"",$L102&gt;0),IF($M102&lt;=$AG102,$L102,0),0)&lt;($F102*MAX(0,MIN($AG102,(Setup!$C$5-Setup!$C$7))-Setup!$C$4)+$F102*Setup!$C$8*MAX(0,MIN($AG102,Setup!$C$5)-MAX((Setup!$C$5-Setup!$C$7),Setup!$C$4))+$W102/4*MAX(0,MIN($AG102,Setup!$C$5+4)-MAX(Setup!$C$5,Setup!$C$4))+$F102*Setup!$C$14*MAX(0,$AG102-MAX(Setup!$C$5+4,Setup!$C$4))),"Runs out before this order can land","OK"))))</f>
        <v/>
      </c>
      <c r="AJ102" s="78" t="str">
        <f>IF($R102&lt;&gt;"OK","",IF($AB102=0,0,IF($AL102="Too slow: send it all fast",$AB102,$AR102)))</f>
        <v/>
      </c>
      <c r="AK102" s="78" t="str">
        <f>IF($R102&lt;&gt;"OK","",$AB102-$AJ102)</f>
        <v/>
      </c>
      <c r="AL102" s="78" t="str">
        <f>IF($R102&lt;&gt;"OK","",IF($AB102=0,"",IF($AB102-$AR102=0,"Nothing left over",IF($O102="Domestic",IF($AG102&lt;=Setup!$C$6+Setup!$C$20+1,"Later units can go by Domestic","Too slow: send it all fast"),IF($AS102+$N102+Setup!$C$25+Setup!$C$11&lt;=Setup!$C$6+Setup!$C$20+1,"Later units can go by Ocean long",IF($AS102+$N102+Setup!$C$26+Setup!$C$11&lt;=Setup!$C$6+Setup!$C$20+1,"Later units can go by Ocean short",IF($AS102+$N102+Setup!$C$27+Setup!$C$11&lt;=Setup!$C$6+Setup!$C$20+1,"Later units can go by Air",IF($AS102+$N102+Setup!$C$28+Setup!$C$11&lt;=Setup!$C$6+Setup!$C$20+1,"Later units can go by Express","Too slow: send it all fast"))))))))</f>
        <v/>
      </c>
      <c r="AM102" s="94" t="str">
        <f>IF($R102&lt;&gt;"OK","",$E102-$D102)</f>
        <v/>
      </c>
      <c r="AN102" s="95" t="str">
        <f>IF($R102&lt;&gt;"OK","",($E102-$D102)/$D102)</f>
        <v/>
      </c>
      <c r="AO102" s="95" t="str">
        <f>IF($R102&lt;&gt;"OK","",IF($AB102&gt;0,$AN102+IF($C102="Evergreen",1000,0),""))</f>
        <v/>
      </c>
      <c r="AP102" s="78" t="str">
        <f>IF(OR($R102&lt;&gt;"OK",$AO102=""),"",COUNTIF($AO$6:$AO$205,"&gt;"&amp;$AO102)+COUNTIF($AO$6:$AO102,$AO102))</f>
        <v/>
      </c>
      <c r="AQ102" s="78" t="str">
        <f>IF(OR($R102&lt;&gt;"OK",$AP102=""),"",INDEX('Buy list'!$G$5:$G$204,$AP102))</f>
        <v/>
      </c>
      <c r="AR102" s="78" t="str">
        <f>IF($R102&lt;&gt;"OK","",IF($AB102=0,0,MIN($AB102,CEILING(MAX(0,($F102*MAX(0,MIN((Setup!$C$6+1+Setup!$C$20),(Setup!$C$5-Setup!$C$7))-Setup!$C$4)+$F102*Setup!$C$8*MAX(0,MIN((Setup!$C$6+1+Setup!$C$20),Setup!$C$5)-MAX((Setup!$C$5-Setup!$C$7),Setup!$C$4))+$W102/4*MAX(0,MIN((Setup!$C$6+1+Setup!$C$20),Setup!$C$5+4)-MAX(Setup!$C$5,Setup!$C$4))+$F102*Setup!$C$14*MAX(0,(Setup!$C$6+1+Setup!$C$20)-MAX(Setup!$C$5+4,Setup!$C$4)))+$Y102-$K102-IF(AND($L102&lt;&gt;"",$L102&gt;0),IF($M102&lt;=Setup!$C$10,$L102,0),0)),IF(OR($P102="",$P102&lt;=0),1,$P102)))))</f>
        <v/>
      </c>
      <c r="AS102" s="96" t="str">
        <f>IF($R102&lt;&gt;"OK","",IF(AND($O102&lt;&gt;"Domestic",ISNUMBER(Setup!$C$22),Setup!$C$22&gt;Setup!$C$4),Setup!$C$22,Setup!$C$4))</f>
        <v/>
      </c>
      <c r="AT102" s="96" t="str">
        <f>IF($R102&lt;&gt;"OK","",IF($AB102=0,"",IF($O102="Domestic",$AG102,$AS102+$N102+Setup!$C$27+Setup!$C$11)))</f>
        <v/>
      </c>
    </row>
    <row r="103" ht="15" customHeight="1" s="46">
      <c r="A103" s="70" t="n"/>
      <c r="B103" s="70" t="n"/>
      <c r="C103" s="70" t="n"/>
      <c r="D103" s="85" t="n"/>
      <c r="E103" s="85" t="n"/>
      <c r="F103" s="86" t="n"/>
      <c r="G103" s="87" t="n"/>
      <c r="H103" s="88" t="n"/>
      <c r="I103" s="89" t="n"/>
      <c r="J103" s="90" t="n"/>
      <c r="K103" s="87" t="n"/>
      <c r="L103" s="87" t="n"/>
      <c r="M103" s="91" t="n"/>
      <c r="N103" s="92" t="n"/>
      <c r="O103" s="70" t="n"/>
      <c r="P103" s="92" t="n"/>
      <c r="Q103" s="87" t="n"/>
      <c r="R103" s="79" t="str">
        <f>IF($A103="","",IF($C103="","Missing: type",IF(OR($D103="",$D103&lt;=0),"Missing: unit cost",IF($E103="","Missing: unit price",IF($F103="","Missing: daily sales",IF($K103="","Missing: on hand",IF($N103="","Missing: production days",IF($O103="","Missing: freight mode",IF(ISNA(MATCH($O103,Setup!$B$25:$B$29,0)),"Unknown freight mode",IF(AND($L103&lt;&gt;"",$L103&gt;0,$M103=""),"Missing: on-order arrival date","OK"))))))))))</f>
        <v/>
      </c>
      <c r="S103" s="78" t="str">
        <f>IF($R103&lt;&gt;"OK","",IF($G103="","",ROUND($G103/IF(OR($H103="",$H103&lt;=0),4,$H103)*4,0)))</f>
        <v/>
      </c>
      <c r="T103" s="78" t="str">
        <f>IF($R103&lt;&gt;"OK","",ROUND(IF($G103="",$F103*4*Setup!$C$19,$G103/IF(OR($H103="",$H103&lt;=0),4,$H103)*4*(1+IF($I103="",Setup!$C$16,$I103)))*IF($J103="",1,$J103),0))</f>
        <v/>
      </c>
      <c r="U103" s="78" t="str">
        <f>IF($R103&lt;&gt;"OK","",ROUND($T103*Setup!$C$17,0))</f>
        <v/>
      </c>
      <c r="V103" s="78" t="str">
        <f>IF($R103&lt;&gt;"OK","",ROUND($T103*Setup!$C$18,0))</f>
        <v/>
      </c>
      <c r="W103" s="78" t="str">
        <f>IF($R103&lt;&gt;"OK","",IF($C103="Evergreen",$V103,IF($C103="Seasonal or new",$U103,$T103)))</f>
        <v/>
      </c>
      <c r="X103" s="78" t="str">
        <f>IF($R103&lt;&gt;"OK","",ROUND(($F103*MAX(0,MIN(Setup!$C$13+1,(Setup!$C$5-Setup!$C$7))-Setup!$C$4)+$F103*Setup!$C$8*MAX(0,MIN(Setup!$C$13+1,Setup!$C$5)-MAX((Setup!$C$5-Setup!$C$7),Setup!$C$4))+$W103/4*MAX(0,MIN(Setup!$C$13+1,Setup!$C$5+4)-MAX(Setup!$C$5,Setup!$C$4))+$F103*Setup!$C$14*MAX(0,Setup!$C$13+1-MAX(Setup!$C$5+4,Setup!$C$4))),0))</f>
        <v/>
      </c>
      <c r="Y103" s="78" t="str">
        <f>IF($R103&lt;&gt;"OK","",ROUND($F103*Setup!$C$15,0))</f>
        <v/>
      </c>
      <c r="Z103" s="78" t="str">
        <f>IF($R103&lt;&gt;"OK","",IF(AND($L103&lt;&gt;"",$L103&gt;0),IF($M103&lt;=Setup!$C$13,$L103,0),0))</f>
        <v/>
      </c>
      <c r="AA103" s="78" t="str">
        <f>IF($R103&lt;&gt;"OK","",MAX(0,$X103+$Y103-$K103-$Z103))</f>
        <v/>
      </c>
      <c r="AB103" s="78" t="str">
        <f>IF($R103&lt;&gt;"OK","",IF($AA103=0,0,CEILING(MAX($AA103,IF($Q103="",0,$Q103)),IF(OR($P103="",$P103&lt;=0),1,$P103))))</f>
        <v/>
      </c>
      <c r="AC103" s="78" t="str">
        <f>IF($R103&lt;&gt;"OK","",$AB103*$D103)</f>
        <v/>
      </c>
      <c r="AD103" s="93" t="str">
        <f>IF($R103&lt;&gt;"OK","",INDEX(Setup!$D$25:$D$29,MATCH($O103,Setup!$B$25:$B$29,0)))</f>
        <v/>
      </c>
      <c r="AE103" s="93" t="str">
        <f>IF($R103&lt;&gt;"OK","",$AD103-$N103)</f>
        <v/>
      </c>
      <c r="AF103" s="79" t="str">
        <f>IF($R103&lt;&gt;"OK","",IF($AB103=0,"No order needed",IF($AE103&gt;=$AS103,"Order by the deadline",IF(AND($O103&lt;&gt;"Domestic",Setup!$D$27-$N103&gt;=$AS103),"Late by this mode: fly it",IF(Setup!$D$28-$N103&gt;=$AS103,"Late: Express courier only",IF($AG103&lt;Setup!$C$5,"Tight: lands before Black Friday",IF(AND($O103&lt;&gt;"Domestic",$AT103&lt;Setup!$C$5),"Tight: by Air lands before Black Friday",IF($AS103+$N103+Setup!$C$28+Setup!$C$11&lt;Setup!$C$5,"Tight: by Express lands before Black Friday","Too late: ration"))))))))</f>
        <v/>
      </c>
      <c r="AG103" s="93" t="str">
        <f>IF($R103&lt;&gt;"OK","",IF($AB103=0,"",$AS103+$N103+INDEX(Setup!$C$25:$C$29,MATCH($O103,Setup!$B$25:$B$29,0))+Setup!$C$11))</f>
        <v/>
      </c>
      <c r="AH103" s="93" t="str">
        <f>IF($R103&lt;&gt;"OK","",IF($F103&lt;=0,"",INT(IF($K103&lt;($F103*MAX(0,(Setup!$C$5-Setup!$C$7)-Setup!$C$4)),Setup!$C$4+$K103/$F103,IF($K103&lt;($F103*MAX(0,(Setup!$C$5-Setup!$C$7)-Setup!$C$4))+($F103*Setup!$C$8*MAX(0,Setup!$C$5-MAX((Setup!$C$5-Setup!$C$7),Setup!$C$4))),MAX((Setup!$C$5-Setup!$C$7),Setup!$C$4)+($K103-($F103*MAX(0,(Setup!$C$5-Setup!$C$7)-Setup!$C$4)))/($F103*Setup!$C$8),IF(AND($W103&gt;0,$K103&lt;($F103*MAX(0,(Setup!$C$5-Setup!$C$7)-Setup!$C$4))+($F103*Setup!$C$8*MAX(0,Setup!$C$5-MAX((Setup!$C$5-Setup!$C$7),Setup!$C$4)))+($W103/4*MAX(0,Setup!$C$5+4-MAX(Setup!$C$5,Setup!$C$4)))),MAX(Setup!$C$5,Setup!$C$4)+($K103-($F103*MAX(0,(Setup!$C$5-Setup!$C$7)-Setup!$C$4))-($F103*Setup!$C$8*MAX(0,Setup!$C$5-MAX((Setup!$C$5-Setup!$C$7),Setup!$C$4))))/($W103/4),MAX(Setup!$C$5+4,Setup!$C$4)+($K103-($F103*MAX(0,(Setup!$C$5-Setup!$C$7)-Setup!$C$4))-($F103*Setup!$C$8*MAX(0,Setup!$C$5-MAX((Setup!$C$5-Setup!$C$7),Setup!$C$4)))-($W103/4*MAX(0,Setup!$C$5+4-MAX(Setup!$C$5,Setup!$C$4))))/($F103*Setup!$C$14)))))))</f>
        <v/>
      </c>
      <c r="AI103" s="79" t="str">
        <f>IF($R103&lt;&gt;"OK","",IF(AND($L103&lt;&gt;"",$L103&gt;0,ISNUMBER($AH103),$M103&gt;$AH103),"Runs out before the incoming delivery arrives",IF($AB103=0,"OK",IF($K103+IF(AND($L103&lt;&gt;"",$L103&gt;0),IF($M103&lt;=$AG103,$L103,0),0)&lt;($F103*MAX(0,MIN($AG103,(Setup!$C$5-Setup!$C$7))-Setup!$C$4)+$F103*Setup!$C$8*MAX(0,MIN($AG103,Setup!$C$5)-MAX((Setup!$C$5-Setup!$C$7),Setup!$C$4))+$W103/4*MAX(0,MIN($AG103,Setup!$C$5+4)-MAX(Setup!$C$5,Setup!$C$4))+$F103*Setup!$C$14*MAX(0,$AG103-MAX(Setup!$C$5+4,Setup!$C$4))),"Runs out before this order can land","OK"))))</f>
        <v/>
      </c>
      <c r="AJ103" s="78" t="str">
        <f>IF($R103&lt;&gt;"OK","",IF($AB103=0,0,IF($AL103="Too slow: send it all fast",$AB103,$AR103)))</f>
        <v/>
      </c>
      <c r="AK103" s="78" t="str">
        <f>IF($R103&lt;&gt;"OK","",$AB103-$AJ103)</f>
        <v/>
      </c>
      <c r="AL103" s="78" t="str">
        <f>IF($R103&lt;&gt;"OK","",IF($AB103=0,"",IF($AB103-$AR103=0,"Nothing left over",IF($O103="Domestic",IF($AG103&lt;=Setup!$C$6+Setup!$C$20+1,"Later units can go by Domestic","Too slow: send it all fast"),IF($AS103+$N103+Setup!$C$25+Setup!$C$11&lt;=Setup!$C$6+Setup!$C$20+1,"Later units can go by Ocean long",IF($AS103+$N103+Setup!$C$26+Setup!$C$11&lt;=Setup!$C$6+Setup!$C$20+1,"Later units can go by Ocean short",IF($AS103+$N103+Setup!$C$27+Setup!$C$11&lt;=Setup!$C$6+Setup!$C$20+1,"Later units can go by Air",IF($AS103+$N103+Setup!$C$28+Setup!$C$11&lt;=Setup!$C$6+Setup!$C$20+1,"Later units can go by Express","Too slow: send it all fast"))))))))</f>
        <v/>
      </c>
      <c r="AM103" s="94" t="str">
        <f>IF($R103&lt;&gt;"OK","",$E103-$D103)</f>
        <v/>
      </c>
      <c r="AN103" s="95" t="str">
        <f>IF($R103&lt;&gt;"OK","",($E103-$D103)/$D103)</f>
        <v/>
      </c>
      <c r="AO103" s="95" t="str">
        <f>IF($R103&lt;&gt;"OK","",IF($AB103&gt;0,$AN103+IF($C103="Evergreen",1000,0),""))</f>
        <v/>
      </c>
      <c r="AP103" s="78" t="str">
        <f>IF(OR($R103&lt;&gt;"OK",$AO103=""),"",COUNTIF($AO$6:$AO$205,"&gt;"&amp;$AO103)+COUNTIF($AO$6:$AO103,$AO103))</f>
        <v/>
      </c>
      <c r="AQ103" s="78" t="str">
        <f>IF(OR($R103&lt;&gt;"OK",$AP103=""),"",INDEX('Buy list'!$G$5:$G$204,$AP103))</f>
        <v/>
      </c>
      <c r="AR103" s="78" t="str">
        <f>IF($R103&lt;&gt;"OK","",IF($AB103=0,0,MIN($AB103,CEILING(MAX(0,($F103*MAX(0,MIN((Setup!$C$6+1+Setup!$C$20),(Setup!$C$5-Setup!$C$7))-Setup!$C$4)+$F103*Setup!$C$8*MAX(0,MIN((Setup!$C$6+1+Setup!$C$20),Setup!$C$5)-MAX((Setup!$C$5-Setup!$C$7),Setup!$C$4))+$W103/4*MAX(0,MIN((Setup!$C$6+1+Setup!$C$20),Setup!$C$5+4)-MAX(Setup!$C$5,Setup!$C$4))+$F103*Setup!$C$14*MAX(0,(Setup!$C$6+1+Setup!$C$20)-MAX(Setup!$C$5+4,Setup!$C$4)))+$Y103-$K103-IF(AND($L103&lt;&gt;"",$L103&gt;0),IF($M103&lt;=Setup!$C$10,$L103,0),0)),IF(OR($P103="",$P103&lt;=0),1,$P103)))))</f>
        <v/>
      </c>
      <c r="AS103" s="96" t="str">
        <f>IF($R103&lt;&gt;"OK","",IF(AND($O103&lt;&gt;"Domestic",ISNUMBER(Setup!$C$22),Setup!$C$22&gt;Setup!$C$4),Setup!$C$22,Setup!$C$4))</f>
        <v/>
      </c>
      <c r="AT103" s="96" t="str">
        <f>IF($R103&lt;&gt;"OK","",IF($AB103=0,"",IF($O103="Domestic",$AG103,$AS103+$N103+Setup!$C$27+Setup!$C$11)))</f>
        <v/>
      </c>
    </row>
    <row r="104" ht="15" customHeight="1" s="46">
      <c r="A104" s="70" t="n"/>
      <c r="B104" s="70" t="n"/>
      <c r="C104" s="70" t="n"/>
      <c r="D104" s="85" t="n"/>
      <c r="E104" s="85" t="n"/>
      <c r="F104" s="86" t="n"/>
      <c r="G104" s="87" t="n"/>
      <c r="H104" s="88" t="n"/>
      <c r="I104" s="89" t="n"/>
      <c r="J104" s="90" t="n"/>
      <c r="K104" s="87" t="n"/>
      <c r="L104" s="87" t="n"/>
      <c r="M104" s="91" t="n"/>
      <c r="N104" s="92" t="n"/>
      <c r="O104" s="70" t="n"/>
      <c r="P104" s="92" t="n"/>
      <c r="Q104" s="87" t="n"/>
      <c r="R104" s="79" t="str">
        <f>IF($A104="","",IF($C104="","Missing: type",IF(OR($D104="",$D104&lt;=0),"Missing: unit cost",IF($E104="","Missing: unit price",IF($F104="","Missing: daily sales",IF($K104="","Missing: on hand",IF($N104="","Missing: production days",IF($O104="","Missing: freight mode",IF(ISNA(MATCH($O104,Setup!$B$25:$B$29,0)),"Unknown freight mode",IF(AND($L104&lt;&gt;"",$L104&gt;0,$M104=""),"Missing: on-order arrival date","OK"))))))))))</f>
        <v/>
      </c>
      <c r="S104" s="78" t="str">
        <f>IF($R104&lt;&gt;"OK","",IF($G104="","",ROUND($G104/IF(OR($H104="",$H104&lt;=0),4,$H104)*4,0)))</f>
        <v/>
      </c>
      <c r="T104" s="78" t="str">
        <f>IF($R104&lt;&gt;"OK","",ROUND(IF($G104="",$F104*4*Setup!$C$19,$G104/IF(OR($H104="",$H104&lt;=0),4,$H104)*4*(1+IF($I104="",Setup!$C$16,$I104)))*IF($J104="",1,$J104),0))</f>
        <v/>
      </c>
      <c r="U104" s="78" t="str">
        <f>IF($R104&lt;&gt;"OK","",ROUND($T104*Setup!$C$17,0))</f>
        <v/>
      </c>
      <c r="V104" s="78" t="str">
        <f>IF($R104&lt;&gt;"OK","",ROUND($T104*Setup!$C$18,0))</f>
        <v/>
      </c>
      <c r="W104" s="78" t="str">
        <f>IF($R104&lt;&gt;"OK","",IF($C104="Evergreen",$V104,IF($C104="Seasonal or new",$U104,$T104)))</f>
        <v/>
      </c>
      <c r="X104" s="78" t="str">
        <f>IF($R104&lt;&gt;"OK","",ROUND(($F104*MAX(0,MIN(Setup!$C$13+1,(Setup!$C$5-Setup!$C$7))-Setup!$C$4)+$F104*Setup!$C$8*MAX(0,MIN(Setup!$C$13+1,Setup!$C$5)-MAX((Setup!$C$5-Setup!$C$7),Setup!$C$4))+$W104/4*MAX(0,MIN(Setup!$C$13+1,Setup!$C$5+4)-MAX(Setup!$C$5,Setup!$C$4))+$F104*Setup!$C$14*MAX(0,Setup!$C$13+1-MAX(Setup!$C$5+4,Setup!$C$4))),0))</f>
        <v/>
      </c>
      <c r="Y104" s="78" t="str">
        <f>IF($R104&lt;&gt;"OK","",ROUND($F104*Setup!$C$15,0))</f>
        <v/>
      </c>
      <c r="Z104" s="78" t="str">
        <f>IF($R104&lt;&gt;"OK","",IF(AND($L104&lt;&gt;"",$L104&gt;0),IF($M104&lt;=Setup!$C$13,$L104,0),0))</f>
        <v/>
      </c>
      <c r="AA104" s="78" t="str">
        <f>IF($R104&lt;&gt;"OK","",MAX(0,$X104+$Y104-$K104-$Z104))</f>
        <v/>
      </c>
      <c r="AB104" s="78" t="str">
        <f>IF($R104&lt;&gt;"OK","",IF($AA104=0,0,CEILING(MAX($AA104,IF($Q104="",0,$Q104)),IF(OR($P104="",$P104&lt;=0),1,$P104))))</f>
        <v/>
      </c>
      <c r="AC104" s="78" t="str">
        <f>IF($R104&lt;&gt;"OK","",$AB104*$D104)</f>
        <v/>
      </c>
      <c r="AD104" s="93" t="str">
        <f>IF($R104&lt;&gt;"OK","",INDEX(Setup!$D$25:$D$29,MATCH($O104,Setup!$B$25:$B$29,0)))</f>
        <v/>
      </c>
      <c r="AE104" s="93" t="str">
        <f>IF($R104&lt;&gt;"OK","",$AD104-$N104)</f>
        <v/>
      </c>
      <c r="AF104" s="79" t="str">
        <f>IF($R104&lt;&gt;"OK","",IF($AB104=0,"No order needed",IF($AE104&gt;=$AS104,"Order by the deadline",IF(AND($O104&lt;&gt;"Domestic",Setup!$D$27-$N104&gt;=$AS104),"Late by this mode: fly it",IF(Setup!$D$28-$N104&gt;=$AS104,"Late: Express courier only",IF($AG104&lt;Setup!$C$5,"Tight: lands before Black Friday",IF(AND($O104&lt;&gt;"Domestic",$AT104&lt;Setup!$C$5),"Tight: by Air lands before Black Friday",IF($AS104+$N104+Setup!$C$28+Setup!$C$11&lt;Setup!$C$5,"Tight: by Express lands before Black Friday","Too late: ration"))))))))</f>
        <v/>
      </c>
      <c r="AG104" s="93" t="str">
        <f>IF($R104&lt;&gt;"OK","",IF($AB104=0,"",$AS104+$N104+INDEX(Setup!$C$25:$C$29,MATCH($O104,Setup!$B$25:$B$29,0))+Setup!$C$11))</f>
        <v/>
      </c>
      <c r="AH104" s="93" t="str">
        <f>IF($R104&lt;&gt;"OK","",IF($F104&lt;=0,"",INT(IF($K104&lt;($F104*MAX(0,(Setup!$C$5-Setup!$C$7)-Setup!$C$4)),Setup!$C$4+$K104/$F104,IF($K104&lt;($F104*MAX(0,(Setup!$C$5-Setup!$C$7)-Setup!$C$4))+($F104*Setup!$C$8*MAX(0,Setup!$C$5-MAX((Setup!$C$5-Setup!$C$7),Setup!$C$4))),MAX((Setup!$C$5-Setup!$C$7),Setup!$C$4)+($K104-($F104*MAX(0,(Setup!$C$5-Setup!$C$7)-Setup!$C$4)))/($F104*Setup!$C$8),IF(AND($W104&gt;0,$K104&lt;($F104*MAX(0,(Setup!$C$5-Setup!$C$7)-Setup!$C$4))+($F104*Setup!$C$8*MAX(0,Setup!$C$5-MAX((Setup!$C$5-Setup!$C$7),Setup!$C$4)))+($W104/4*MAX(0,Setup!$C$5+4-MAX(Setup!$C$5,Setup!$C$4)))),MAX(Setup!$C$5,Setup!$C$4)+($K104-($F104*MAX(0,(Setup!$C$5-Setup!$C$7)-Setup!$C$4))-($F104*Setup!$C$8*MAX(0,Setup!$C$5-MAX((Setup!$C$5-Setup!$C$7),Setup!$C$4))))/($W104/4),MAX(Setup!$C$5+4,Setup!$C$4)+($K104-($F104*MAX(0,(Setup!$C$5-Setup!$C$7)-Setup!$C$4))-($F104*Setup!$C$8*MAX(0,Setup!$C$5-MAX((Setup!$C$5-Setup!$C$7),Setup!$C$4)))-($W104/4*MAX(0,Setup!$C$5+4-MAX(Setup!$C$5,Setup!$C$4))))/($F104*Setup!$C$14)))))))</f>
        <v/>
      </c>
      <c r="AI104" s="79" t="str">
        <f>IF($R104&lt;&gt;"OK","",IF(AND($L104&lt;&gt;"",$L104&gt;0,ISNUMBER($AH104),$M104&gt;$AH104),"Runs out before the incoming delivery arrives",IF($AB104=0,"OK",IF($K104+IF(AND($L104&lt;&gt;"",$L104&gt;0),IF($M104&lt;=$AG104,$L104,0),0)&lt;($F104*MAX(0,MIN($AG104,(Setup!$C$5-Setup!$C$7))-Setup!$C$4)+$F104*Setup!$C$8*MAX(0,MIN($AG104,Setup!$C$5)-MAX((Setup!$C$5-Setup!$C$7),Setup!$C$4))+$W104/4*MAX(0,MIN($AG104,Setup!$C$5+4)-MAX(Setup!$C$5,Setup!$C$4))+$F104*Setup!$C$14*MAX(0,$AG104-MAX(Setup!$C$5+4,Setup!$C$4))),"Runs out before this order can land","OK"))))</f>
        <v/>
      </c>
      <c r="AJ104" s="78" t="str">
        <f>IF($R104&lt;&gt;"OK","",IF($AB104=0,0,IF($AL104="Too slow: send it all fast",$AB104,$AR104)))</f>
        <v/>
      </c>
      <c r="AK104" s="78" t="str">
        <f>IF($R104&lt;&gt;"OK","",$AB104-$AJ104)</f>
        <v/>
      </c>
      <c r="AL104" s="78" t="str">
        <f>IF($R104&lt;&gt;"OK","",IF($AB104=0,"",IF($AB104-$AR104=0,"Nothing left over",IF($O104="Domestic",IF($AG104&lt;=Setup!$C$6+Setup!$C$20+1,"Later units can go by Domestic","Too slow: send it all fast"),IF($AS104+$N104+Setup!$C$25+Setup!$C$11&lt;=Setup!$C$6+Setup!$C$20+1,"Later units can go by Ocean long",IF($AS104+$N104+Setup!$C$26+Setup!$C$11&lt;=Setup!$C$6+Setup!$C$20+1,"Later units can go by Ocean short",IF($AS104+$N104+Setup!$C$27+Setup!$C$11&lt;=Setup!$C$6+Setup!$C$20+1,"Later units can go by Air",IF($AS104+$N104+Setup!$C$28+Setup!$C$11&lt;=Setup!$C$6+Setup!$C$20+1,"Later units can go by Express","Too slow: send it all fast"))))))))</f>
        <v/>
      </c>
      <c r="AM104" s="94" t="str">
        <f>IF($R104&lt;&gt;"OK","",$E104-$D104)</f>
        <v/>
      </c>
      <c r="AN104" s="95" t="str">
        <f>IF($R104&lt;&gt;"OK","",($E104-$D104)/$D104)</f>
        <v/>
      </c>
      <c r="AO104" s="95" t="str">
        <f>IF($R104&lt;&gt;"OK","",IF($AB104&gt;0,$AN104+IF($C104="Evergreen",1000,0),""))</f>
        <v/>
      </c>
      <c r="AP104" s="78" t="str">
        <f>IF(OR($R104&lt;&gt;"OK",$AO104=""),"",COUNTIF($AO$6:$AO$205,"&gt;"&amp;$AO104)+COUNTIF($AO$6:$AO104,$AO104))</f>
        <v/>
      </c>
      <c r="AQ104" s="78" t="str">
        <f>IF(OR($R104&lt;&gt;"OK",$AP104=""),"",INDEX('Buy list'!$G$5:$G$204,$AP104))</f>
        <v/>
      </c>
      <c r="AR104" s="78" t="str">
        <f>IF($R104&lt;&gt;"OK","",IF($AB104=0,0,MIN($AB104,CEILING(MAX(0,($F104*MAX(0,MIN((Setup!$C$6+1+Setup!$C$20),(Setup!$C$5-Setup!$C$7))-Setup!$C$4)+$F104*Setup!$C$8*MAX(0,MIN((Setup!$C$6+1+Setup!$C$20),Setup!$C$5)-MAX((Setup!$C$5-Setup!$C$7),Setup!$C$4))+$W104/4*MAX(0,MIN((Setup!$C$6+1+Setup!$C$20),Setup!$C$5+4)-MAX(Setup!$C$5,Setup!$C$4))+$F104*Setup!$C$14*MAX(0,(Setup!$C$6+1+Setup!$C$20)-MAX(Setup!$C$5+4,Setup!$C$4)))+$Y104-$K104-IF(AND($L104&lt;&gt;"",$L104&gt;0),IF($M104&lt;=Setup!$C$10,$L104,0),0)),IF(OR($P104="",$P104&lt;=0),1,$P104)))))</f>
        <v/>
      </c>
      <c r="AS104" s="96" t="str">
        <f>IF($R104&lt;&gt;"OK","",IF(AND($O104&lt;&gt;"Domestic",ISNUMBER(Setup!$C$22),Setup!$C$22&gt;Setup!$C$4),Setup!$C$22,Setup!$C$4))</f>
        <v/>
      </c>
      <c r="AT104" s="96" t="str">
        <f>IF($R104&lt;&gt;"OK","",IF($AB104=0,"",IF($O104="Domestic",$AG104,$AS104+$N104+Setup!$C$27+Setup!$C$11)))</f>
        <v/>
      </c>
    </row>
    <row r="105" ht="15" customHeight="1" s="46">
      <c r="A105" s="70" t="n"/>
      <c r="B105" s="70" t="n"/>
      <c r="C105" s="70" t="n"/>
      <c r="D105" s="85" t="n"/>
      <c r="E105" s="85" t="n"/>
      <c r="F105" s="86" t="n"/>
      <c r="G105" s="87" t="n"/>
      <c r="H105" s="88" t="n"/>
      <c r="I105" s="89" t="n"/>
      <c r="J105" s="90" t="n"/>
      <c r="K105" s="87" t="n"/>
      <c r="L105" s="87" t="n"/>
      <c r="M105" s="91" t="n"/>
      <c r="N105" s="92" t="n"/>
      <c r="O105" s="70" t="n"/>
      <c r="P105" s="92" t="n"/>
      <c r="Q105" s="87" t="n"/>
      <c r="R105" s="79" t="str">
        <f>IF($A105="","",IF($C105="","Missing: type",IF(OR($D105="",$D105&lt;=0),"Missing: unit cost",IF($E105="","Missing: unit price",IF($F105="","Missing: daily sales",IF($K105="","Missing: on hand",IF($N105="","Missing: production days",IF($O105="","Missing: freight mode",IF(ISNA(MATCH($O105,Setup!$B$25:$B$29,0)),"Unknown freight mode",IF(AND($L105&lt;&gt;"",$L105&gt;0,$M105=""),"Missing: on-order arrival date","OK"))))))))))</f>
        <v/>
      </c>
      <c r="S105" s="78" t="str">
        <f>IF($R105&lt;&gt;"OK","",IF($G105="","",ROUND($G105/IF(OR($H105="",$H105&lt;=0),4,$H105)*4,0)))</f>
        <v/>
      </c>
      <c r="T105" s="78" t="str">
        <f>IF($R105&lt;&gt;"OK","",ROUND(IF($G105="",$F105*4*Setup!$C$19,$G105/IF(OR($H105="",$H105&lt;=0),4,$H105)*4*(1+IF($I105="",Setup!$C$16,$I105)))*IF($J105="",1,$J105),0))</f>
        <v/>
      </c>
      <c r="U105" s="78" t="str">
        <f>IF($R105&lt;&gt;"OK","",ROUND($T105*Setup!$C$17,0))</f>
        <v/>
      </c>
      <c r="V105" s="78" t="str">
        <f>IF($R105&lt;&gt;"OK","",ROUND($T105*Setup!$C$18,0))</f>
        <v/>
      </c>
      <c r="W105" s="78" t="str">
        <f>IF($R105&lt;&gt;"OK","",IF($C105="Evergreen",$V105,IF($C105="Seasonal or new",$U105,$T105)))</f>
        <v/>
      </c>
      <c r="X105" s="78" t="str">
        <f>IF($R105&lt;&gt;"OK","",ROUND(($F105*MAX(0,MIN(Setup!$C$13+1,(Setup!$C$5-Setup!$C$7))-Setup!$C$4)+$F105*Setup!$C$8*MAX(0,MIN(Setup!$C$13+1,Setup!$C$5)-MAX((Setup!$C$5-Setup!$C$7),Setup!$C$4))+$W105/4*MAX(0,MIN(Setup!$C$13+1,Setup!$C$5+4)-MAX(Setup!$C$5,Setup!$C$4))+$F105*Setup!$C$14*MAX(0,Setup!$C$13+1-MAX(Setup!$C$5+4,Setup!$C$4))),0))</f>
        <v/>
      </c>
      <c r="Y105" s="78" t="str">
        <f>IF($R105&lt;&gt;"OK","",ROUND($F105*Setup!$C$15,0))</f>
        <v/>
      </c>
      <c r="Z105" s="78" t="str">
        <f>IF($R105&lt;&gt;"OK","",IF(AND($L105&lt;&gt;"",$L105&gt;0),IF($M105&lt;=Setup!$C$13,$L105,0),0))</f>
        <v/>
      </c>
      <c r="AA105" s="78" t="str">
        <f>IF($R105&lt;&gt;"OK","",MAX(0,$X105+$Y105-$K105-$Z105))</f>
        <v/>
      </c>
      <c r="AB105" s="78" t="str">
        <f>IF($R105&lt;&gt;"OK","",IF($AA105=0,0,CEILING(MAX($AA105,IF($Q105="",0,$Q105)),IF(OR($P105="",$P105&lt;=0),1,$P105))))</f>
        <v/>
      </c>
      <c r="AC105" s="78" t="str">
        <f>IF($R105&lt;&gt;"OK","",$AB105*$D105)</f>
        <v/>
      </c>
      <c r="AD105" s="93" t="str">
        <f>IF($R105&lt;&gt;"OK","",INDEX(Setup!$D$25:$D$29,MATCH($O105,Setup!$B$25:$B$29,0)))</f>
        <v/>
      </c>
      <c r="AE105" s="93" t="str">
        <f>IF($R105&lt;&gt;"OK","",$AD105-$N105)</f>
        <v/>
      </c>
      <c r="AF105" s="79" t="str">
        <f>IF($R105&lt;&gt;"OK","",IF($AB105=0,"No order needed",IF($AE105&gt;=$AS105,"Order by the deadline",IF(AND($O105&lt;&gt;"Domestic",Setup!$D$27-$N105&gt;=$AS105),"Late by this mode: fly it",IF(Setup!$D$28-$N105&gt;=$AS105,"Late: Express courier only",IF($AG105&lt;Setup!$C$5,"Tight: lands before Black Friday",IF(AND($O105&lt;&gt;"Domestic",$AT105&lt;Setup!$C$5),"Tight: by Air lands before Black Friday",IF($AS105+$N105+Setup!$C$28+Setup!$C$11&lt;Setup!$C$5,"Tight: by Express lands before Black Friday","Too late: ration"))))))))</f>
        <v/>
      </c>
      <c r="AG105" s="93" t="str">
        <f>IF($R105&lt;&gt;"OK","",IF($AB105=0,"",$AS105+$N105+INDEX(Setup!$C$25:$C$29,MATCH($O105,Setup!$B$25:$B$29,0))+Setup!$C$11))</f>
        <v/>
      </c>
      <c r="AH105" s="93" t="str">
        <f>IF($R105&lt;&gt;"OK","",IF($F105&lt;=0,"",INT(IF($K105&lt;($F105*MAX(0,(Setup!$C$5-Setup!$C$7)-Setup!$C$4)),Setup!$C$4+$K105/$F105,IF($K105&lt;($F105*MAX(0,(Setup!$C$5-Setup!$C$7)-Setup!$C$4))+($F105*Setup!$C$8*MAX(0,Setup!$C$5-MAX((Setup!$C$5-Setup!$C$7),Setup!$C$4))),MAX((Setup!$C$5-Setup!$C$7),Setup!$C$4)+($K105-($F105*MAX(0,(Setup!$C$5-Setup!$C$7)-Setup!$C$4)))/($F105*Setup!$C$8),IF(AND($W105&gt;0,$K105&lt;($F105*MAX(0,(Setup!$C$5-Setup!$C$7)-Setup!$C$4))+($F105*Setup!$C$8*MAX(0,Setup!$C$5-MAX((Setup!$C$5-Setup!$C$7),Setup!$C$4)))+($W105/4*MAX(0,Setup!$C$5+4-MAX(Setup!$C$5,Setup!$C$4)))),MAX(Setup!$C$5,Setup!$C$4)+($K105-($F105*MAX(0,(Setup!$C$5-Setup!$C$7)-Setup!$C$4))-($F105*Setup!$C$8*MAX(0,Setup!$C$5-MAX((Setup!$C$5-Setup!$C$7),Setup!$C$4))))/($W105/4),MAX(Setup!$C$5+4,Setup!$C$4)+($K105-($F105*MAX(0,(Setup!$C$5-Setup!$C$7)-Setup!$C$4))-($F105*Setup!$C$8*MAX(0,Setup!$C$5-MAX((Setup!$C$5-Setup!$C$7),Setup!$C$4)))-($W105/4*MAX(0,Setup!$C$5+4-MAX(Setup!$C$5,Setup!$C$4))))/($F105*Setup!$C$14)))))))</f>
        <v/>
      </c>
      <c r="AI105" s="79" t="str">
        <f>IF($R105&lt;&gt;"OK","",IF(AND($L105&lt;&gt;"",$L105&gt;0,ISNUMBER($AH105),$M105&gt;$AH105),"Runs out before the incoming delivery arrives",IF($AB105=0,"OK",IF($K105+IF(AND($L105&lt;&gt;"",$L105&gt;0),IF($M105&lt;=$AG105,$L105,0),0)&lt;($F105*MAX(0,MIN($AG105,(Setup!$C$5-Setup!$C$7))-Setup!$C$4)+$F105*Setup!$C$8*MAX(0,MIN($AG105,Setup!$C$5)-MAX((Setup!$C$5-Setup!$C$7),Setup!$C$4))+$W105/4*MAX(0,MIN($AG105,Setup!$C$5+4)-MAX(Setup!$C$5,Setup!$C$4))+$F105*Setup!$C$14*MAX(0,$AG105-MAX(Setup!$C$5+4,Setup!$C$4))),"Runs out before this order can land","OK"))))</f>
        <v/>
      </c>
      <c r="AJ105" s="78" t="str">
        <f>IF($R105&lt;&gt;"OK","",IF($AB105=0,0,IF($AL105="Too slow: send it all fast",$AB105,$AR105)))</f>
        <v/>
      </c>
      <c r="AK105" s="78" t="str">
        <f>IF($R105&lt;&gt;"OK","",$AB105-$AJ105)</f>
        <v/>
      </c>
      <c r="AL105" s="78" t="str">
        <f>IF($R105&lt;&gt;"OK","",IF($AB105=0,"",IF($AB105-$AR105=0,"Nothing left over",IF($O105="Domestic",IF($AG105&lt;=Setup!$C$6+Setup!$C$20+1,"Later units can go by Domestic","Too slow: send it all fast"),IF($AS105+$N105+Setup!$C$25+Setup!$C$11&lt;=Setup!$C$6+Setup!$C$20+1,"Later units can go by Ocean long",IF($AS105+$N105+Setup!$C$26+Setup!$C$11&lt;=Setup!$C$6+Setup!$C$20+1,"Later units can go by Ocean short",IF($AS105+$N105+Setup!$C$27+Setup!$C$11&lt;=Setup!$C$6+Setup!$C$20+1,"Later units can go by Air",IF($AS105+$N105+Setup!$C$28+Setup!$C$11&lt;=Setup!$C$6+Setup!$C$20+1,"Later units can go by Express","Too slow: send it all fast"))))))))</f>
        <v/>
      </c>
      <c r="AM105" s="94" t="str">
        <f>IF($R105&lt;&gt;"OK","",$E105-$D105)</f>
        <v/>
      </c>
      <c r="AN105" s="95" t="str">
        <f>IF($R105&lt;&gt;"OK","",($E105-$D105)/$D105)</f>
        <v/>
      </c>
      <c r="AO105" s="95" t="str">
        <f>IF($R105&lt;&gt;"OK","",IF($AB105&gt;0,$AN105+IF($C105="Evergreen",1000,0),""))</f>
        <v/>
      </c>
      <c r="AP105" s="78" t="str">
        <f>IF(OR($R105&lt;&gt;"OK",$AO105=""),"",COUNTIF($AO$6:$AO$205,"&gt;"&amp;$AO105)+COUNTIF($AO$6:$AO105,$AO105))</f>
        <v/>
      </c>
      <c r="AQ105" s="78" t="str">
        <f>IF(OR($R105&lt;&gt;"OK",$AP105=""),"",INDEX('Buy list'!$G$5:$G$204,$AP105))</f>
        <v/>
      </c>
      <c r="AR105" s="78" t="str">
        <f>IF($R105&lt;&gt;"OK","",IF($AB105=0,0,MIN($AB105,CEILING(MAX(0,($F105*MAX(0,MIN((Setup!$C$6+1+Setup!$C$20),(Setup!$C$5-Setup!$C$7))-Setup!$C$4)+$F105*Setup!$C$8*MAX(0,MIN((Setup!$C$6+1+Setup!$C$20),Setup!$C$5)-MAX((Setup!$C$5-Setup!$C$7),Setup!$C$4))+$W105/4*MAX(0,MIN((Setup!$C$6+1+Setup!$C$20),Setup!$C$5+4)-MAX(Setup!$C$5,Setup!$C$4))+$F105*Setup!$C$14*MAX(0,(Setup!$C$6+1+Setup!$C$20)-MAX(Setup!$C$5+4,Setup!$C$4)))+$Y105-$K105-IF(AND($L105&lt;&gt;"",$L105&gt;0),IF($M105&lt;=Setup!$C$10,$L105,0),0)),IF(OR($P105="",$P105&lt;=0),1,$P105)))))</f>
        <v/>
      </c>
      <c r="AS105" s="96" t="str">
        <f>IF($R105&lt;&gt;"OK","",IF(AND($O105&lt;&gt;"Domestic",ISNUMBER(Setup!$C$22),Setup!$C$22&gt;Setup!$C$4),Setup!$C$22,Setup!$C$4))</f>
        <v/>
      </c>
      <c r="AT105" s="96" t="str">
        <f>IF($R105&lt;&gt;"OK","",IF($AB105=0,"",IF($O105="Domestic",$AG105,$AS105+$N105+Setup!$C$27+Setup!$C$11)))</f>
        <v/>
      </c>
    </row>
    <row r="106" ht="15" customHeight="1" s="46">
      <c r="A106" s="70" t="n"/>
      <c r="B106" s="70" t="n"/>
      <c r="C106" s="70" t="n"/>
      <c r="D106" s="85" t="n"/>
      <c r="E106" s="85" t="n"/>
      <c r="F106" s="86" t="n"/>
      <c r="G106" s="87" t="n"/>
      <c r="H106" s="88" t="n"/>
      <c r="I106" s="89" t="n"/>
      <c r="J106" s="90" t="n"/>
      <c r="K106" s="87" t="n"/>
      <c r="L106" s="87" t="n"/>
      <c r="M106" s="91" t="n"/>
      <c r="N106" s="92" t="n"/>
      <c r="O106" s="70" t="n"/>
      <c r="P106" s="92" t="n"/>
      <c r="Q106" s="87" t="n"/>
      <c r="R106" s="79" t="str">
        <f>IF($A106="","",IF($C106="","Missing: type",IF(OR($D106="",$D106&lt;=0),"Missing: unit cost",IF($E106="","Missing: unit price",IF($F106="","Missing: daily sales",IF($K106="","Missing: on hand",IF($N106="","Missing: production days",IF($O106="","Missing: freight mode",IF(ISNA(MATCH($O106,Setup!$B$25:$B$29,0)),"Unknown freight mode",IF(AND($L106&lt;&gt;"",$L106&gt;0,$M106=""),"Missing: on-order arrival date","OK"))))))))))</f>
        <v/>
      </c>
      <c r="S106" s="78" t="str">
        <f>IF($R106&lt;&gt;"OK","",IF($G106="","",ROUND($G106/IF(OR($H106="",$H106&lt;=0),4,$H106)*4,0)))</f>
        <v/>
      </c>
      <c r="T106" s="78" t="str">
        <f>IF($R106&lt;&gt;"OK","",ROUND(IF($G106="",$F106*4*Setup!$C$19,$G106/IF(OR($H106="",$H106&lt;=0),4,$H106)*4*(1+IF($I106="",Setup!$C$16,$I106)))*IF($J106="",1,$J106),0))</f>
        <v/>
      </c>
      <c r="U106" s="78" t="str">
        <f>IF($R106&lt;&gt;"OK","",ROUND($T106*Setup!$C$17,0))</f>
        <v/>
      </c>
      <c r="V106" s="78" t="str">
        <f>IF($R106&lt;&gt;"OK","",ROUND($T106*Setup!$C$18,0))</f>
        <v/>
      </c>
      <c r="W106" s="78" t="str">
        <f>IF($R106&lt;&gt;"OK","",IF($C106="Evergreen",$V106,IF($C106="Seasonal or new",$U106,$T106)))</f>
        <v/>
      </c>
      <c r="X106" s="78" t="str">
        <f>IF($R106&lt;&gt;"OK","",ROUND(($F106*MAX(0,MIN(Setup!$C$13+1,(Setup!$C$5-Setup!$C$7))-Setup!$C$4)+$F106*Setup!$C$8*MAX(0,MIN(Setup!$C$13+1,Setup!$C$5)-MAX((Setup!$C$5-Setup!$C$7),Setup!$C$4))+$W106/4*MAX(0,MIN(Setup!$C$13+1,Setup!$C$5+4)-MAX(Setup!$C$5,Setup!$C$4))+$F106*Setup!$C$14*MAX(0,Setup!$C$13+1-MAX(Setup!$C$5+4,Setup!$C$4))),0))</f>
        <v/>
      </c>
      <c r="Y106" s="78" t="str">
        <f>IF($R106&lt;&gt;"OK","",ROUND($F106*Setup!$C$15,0))</f>
        <v/>
      </c>
      <c r="Z106" s="78" t="str">
        <f>IF($R106&lt;&gt;"OK","",IF(AND($L106&lt;&gt;"",$L106&gt;0),IF($M106&lt;=Setup!$C$13,$L106,0),0))</f>
        <v/>
      </c>
      <c r="AA106" s="78" t="str">
        <f>IF($R106&lt;&gt;"OK","",MAX(0,$X106+$Y106-$K106-$Z106))</f>
        <v/>
      </c>
      <c r="AB106" s="78" t="str">
        <f>IF($R106&lt;&gt;"OK","",IF($AA106=0,0,CEILING(MAX($AA106,IF($Q106="",0,$Q106)),IF(OR($P106="",$P106&lt;=0),1,$P106))))</f>
        <v/>
      </c>
      <c r="AC106" s="78" t="str">
        <f>IF($R106&lt;&gt;"OK","",$AB106*$D106)</f>
        <v/>
      </c>
      <c r="AD106" s="93" t="str">
        <f>IF($R106&lt;&gt;"OK","",INDEX(Setup!$D$25:$D$29,MATCH($O106,Setup!$B$25:$B$29,0)))</f>
        <v/>
      </c>
      <c r="AE106" s="93" t="str">
        <f>IF($R106&lt;&gt;"OK","",$AD106-$N106)</f>
        <v/>
      </c>
      <c r="AF106" s="79" t="str">
        <f>IF($R106&lt;&gt;"OK","",IF($AB106=0,"No order needed",IF($AE106&gt;=$AS106,"Order by the deadline",IF(AND($O106&lt;&gt;"Domestic",Setup!$D$27-$N106&gt;=$AS106),"Late by this mode: fly it",IF(Setup!$D$28-$N106&gt;=$AS106,"Late: Express courier only",IF($AG106&lt;Setup!$C$5,"Tight: lands before Black Friday",IF(AND($O106&lt;&gt;"Domestic",$AT106&lt;Setup!$C$5),"Tight: by Air lands before Black Friday",IF($AS106+$N106+Setup!$C$28+Setup!$C$11&lt;Setup!$C$5,"Tight: by Express lands before Black Friday","Too late: ration"))))))))</f>
        <v/>
      </c>
      <c r="AG106" s="93" t="str">
        <f>IF($R106&lt;&gt;"OK","",IF($AB106=0,"",$AS106+$N106+INDEX(Setup!$C$25:$C$29,MATCH($O106,Setup!$B$25:$B$29,0))+Setup!$C$11))</f>
        <v/>
      </c>
      <c r="AH106" s="93" t="str">
        <f>IF($R106&lt;&gt;"OK","",IF($F106&lt;=0,"",INT(IF($K106&lt;($F106*MAX(0,(Setup!$C$5-Setup!$C$7)-Setup!$C$4)),Setup!$C$4+$K106/$F106,IF($K106&lt;($F106*MAX(0,(Setup!$C$5-Setup!$C$7)-Setup!$C$4))+($F106*Setup!$C$8*MAX(0,Setup!$C$5-MAX((Setup!$C$5-Setup!$C$7),Setup!$C$4))),MAX((Setup!$C$5-Setup!$C$7),Setup!$C$4)+($K106-($F106*MAX(0,(Setup!$C$5-Setup!$C$7)-Setup!$C$4)))/($F106*Setup!$C$8),IF(AND($W106&gt;0,$K106&lt;($F106*MAX(0,(Setup!$C$5-Setup!$C$7)-Setup!$C$4))+($F106*Setup!$C$8*MAX(0,Setup!$C$5-MAX((Setup!$C$5-Setup!$C$7),Setup!$C$4)))+($W106/4*MAX(0,Setup!$C$5+4-MAX(Setup!$C$5,Setup!$C$4)))),MAX(Setup!$C$5,Setup!$C$4)+($K106-($F106*MAX(0,(Setup!$C$5-Setup!$C$7)-Setup!$C$4))-($F106*Setup!$C$8*MAX(0,Setup!$C$5-MAX((Setup!$C$5-Setup!$C$7),Setup!$C$4))))/($W106/4),MAX(Setup!$C$5+4,Setup!$C$4)+($K106-($F106*MAX(0,(Setup!$C$5-Setup!$C$7)-Setup!$C$4))-($F106*Setup!$C$8*MAX(0,Setup!$C$5-MAX((Setup!$C$5-Setup!$C$7),Setup!$C$4)))-($W106/4*MAX(0,Setup!$C$5+4-MAX(Setup!$C$5,Setup!$C$4))))/($F106*Setup!$C$14)))))))</f>
        <v/>
      </c>
      <c r="AI106" s="79" t="str">
        <f>IF($R106&lt;&gt;"OK","",IF(AND($L106&lt;&gt;"",$L106&gt;0,ISNUMBER($AH106),$M106&gt;$AH106),"Runs out before the incoming delivery arrives",IF($AB106=0,"OK",IF($K106+IF(AND($L106&lt;&gt;"",$L106&gt;0),IF($M106&lt;=$AG106,$L106,0),0)&lt;($F106*MAX(0,MIN($AG106,(Setup!$C$5-Setup!$C$7))-Setup!$C$4)+$F106*Setup!$C$8*MAX(0,MIN($AG106,Setup!$C$5)-MAX((Setup!$C$5-Setup!$C$7),Setup!$C$4))+$W106/4*MAX(0,MIN($AG106,Setup!$C$5+4)-MAX(Setup!$C$5,Setup!$C$4))+$F106*Setup!$C$14*MAX(0,$AG106-MAX(Setup!$C$5+4,Setup!$C$4))),"Runs out before this order can land","OK"))))</f>
        <v/>
      </c>
      <c r="AJ106" s="78" t="str">
        <f>IF($R106&lt;&gt;"OK","",IF($AB106=0,0,IF($AL106="Too slow: send it all fast",$AB106,$AR106)))</f>
        <v/>
      </c>
      <c r="AK106" s="78" t="str">
        <f>IF($R106&lt;&gt;"OK","",$AB106-$AJ106)</f>
        <v/>
      </c>
      <c r="AL106" s="78" t="str">
        <f>IF($R106&lt;&gt;"OK","",IF($AB106=0,"",IF($AB106-$AR106=0,"Nothing left over",IF($O106="Domestic",IF($AG106&lt;=Setup!$C$6+Setup!$C$20+1,"Later units can go by Domestic","Too slow: send it all fast"),IF($AS106+$N106+Setup!$C$25+Setup!$C$11&lt;=Setup!$C$6+Setup!$C$20+1,"Later units can go by Ocean long",IF($AS106+$N106+Setup!$C$26+Setup!$C$11&lt;=Setup!$C$6+Setup!$C$20+1,"Later units can go by Ocean short",IF($AS106+$N106+Setup!$C$27+Setup!$C$11&lt;=Setup!$C$6+Setup!$C$20+1,"Later units can go by Air",IF($AS106+$N106+Setup!$C$28+Setup!$C$11&lt;=Setup!$C$6+Setup!$C$20+1,"Later units can go by Express","Too slow: send it all fast"))))))))</f>
        <v/>
      </c>
      <c r="AM106" s="94" t="str">
        <f>IF($R106&lt;&gt;"OK","",$E106-$D106)</f>
        <v/>
      </c>
      <c r="AN106" s="95" t="str">
        <f>IF($R106&lt;&gt;"OK","",($E106-$D106)/$D106)</f>
        <v/>
      </c>
      <c r="AO106" s="95" t="str">
        <f>IF($R106&lt;&gt;"OK","",IF($AB106&gt;0,$AN106+IF($C106="Evergreen",1000,0),""))</f>
        <v/>
      </c>
      <c r="AP106" s="78" t="str">
        <f>IF(OR($R106&lt;&gt;"OK",$AO106=""),"",COUNTIF($AO$6:$AO$205,"&gt;"&amp;$AO106)+COUNTIF($AO$6:$AO106,$AO106))</f>
        <v/>
      </c>
      <c r="AQ106" s="78" t="str">
        <f>IF(OR($R106&lt;&gt;"OK",$AP106=""),"",INDEX('Buy list'!$G$5:$G$204,$AP106))</f>
        <v/>
      </c>
      <c r="AR106" s="78" t="str">
        <f>IF($R106&lt;&gt;"OK","",IF($AB106=0,0,MIN($AB106,CEILING(MAX(0,($F106*MAX(0,MIN((Setup!$C$6+1+Setup!$C$20),(Setup!$C$5-Setup!$C$7))-Setup!$C$4)+$F106*Setup!$C$8*MAX(0,MIN((Setup!$C$6+1+Setup!$C$20),Setup!$C$5)-MAX((Setup!$C$5-Setup!$C$7),Setup!$C$4))+$W106/4*MAX(0,MIN((Setup!$C$6+1+Setup!$C$20),Setup!$C$5+4)-MAX(Setup!$C$5,Setup!$C$4))+$F106*Setup!$C$14*MAX(0,(Setup!$C$6+1+Setup!$C$20)-MAX(Setup!$C$5+4,Setup!$C$4)))+$Y106-$K106-IF(AND($L106&lt;&gt;"",$L106&gt;0),IF($M106&lt;=Setup!$C$10,$L106,0),0)),IF(OR($P106="",$P106&lt;=0),1,$P106)))))</f>
        <v/>
      </c>
      <c r="AS106" s="96" t="str">
        <f>IF($R106&lt;&gt;"OK","",IF(AND($O106&lt;&gt;"Domestic",ISNUMBER(Setup!$C$22),Setup!$C$22&gt;Setup!$C$4),Setup!$C$22,Setup!$C$4))</f>
        <v/>
      </c>
      <c r="AT106" s="96" t="str">
        <f>IF($R106&lt;&gt;"OK","",IF($AB106=0,"",IF($O106="Domestic",$AG106,$AS106+$N106+Setup!$C$27+Setup!$C$11)))</f>
        <v/>
      </c>
    </row>
    <row r="107" ht="15" customHeight="1" s="46">
      <c r="A107" s="70" t="n"/>
      <c r="B107" s="70" t="n"/>
      <c r="C107" s="70" t="n"/>
      <c r="D107" s="85" t="n"/>
      <c r="E107" s="85" t="n"/>
      <c r="F107" s="86" t="n"/>
      <c r="G107" s="87" t="n"/>
      <c r="H107" s="88" t="n"/>
      <c r="I107" s="89" t="n"/>
      <c r="J107" s="90" t="n"/>
      <c r="K107" s="87" t="n"/>
      <c r="L107" s="87" t="n"/>
      <c r="M107" s="91" t="n"/>
      <c r="N107" s="92" t="n"/>
      <c r="O107" s="70" t="n"/>
      <c r="P107" s="92" t="n"/>
      <c r="Q107" s="87" t="n"/>
      <c r="R107" s="79" t="str">
        <f>IF($A107="","",IF($C107="","Missing: type",IF(OR($D107="",$D107&lt;=0),"Missing: unit cost",IF($E107="","Missing: unit price",IF($F107="","Missing: daily sales",IF($K107="","Missing: on hand",IF($N107="","Missing: production days",IF($O107="","Missing: freight mode",IF(ISNA(MATCH($O107,Setup!$B$25:$B$29,0)),"Unknown freight mode",IF(AND($L107&lt;&gt;"",$L107&gt;0,$M107=""),"Missing: on-order arrival date","OK"))))))))))</f>
        <v/>
      </c>
      <c r="S107" s="78" t="str">
        <f>IF($R107&lt;&gt;"OK","",IF($G107="","",ROUND($G107/IF(OR($H107="",$H107&lt;=0),4,$H107)*4,0)))</f>
        <v/>
      </c>
      <c r="T107" s="78" t="str">
        <f>IF($R107&lt;&gt;"OK","",ROUND(IF($G107="",$F107*4*Setup!$C$19,$G107/IF(OR($H107="",$H107&lt;=0),4,$H107)*4*(1+IF($I107="",Setup!$C$16,$I107)))*IF($J107="",1,$J107),0))</f>
        <v/>
      </c>
      <c r="U107" s="78" t="str">
        <f>IF($R107&lt;&gt;"OK","",ROUND($T107*Setup!$C$17,0))</f>
        <v/>
      </c>
      <c r="V107" s="78" t="str">
        <f>IF($R107&lt;&gt;"OK","",ROUND($T107*Setup!$C$18,0))</f>
        <v/>
      </c>
      <c r="W107" s="78" t="str">
        <f>IF($R107&lt;&gt;"OK","",IF($C107="Evergreen",$V107,IF($C107="Seasonal or new",$U107,$T107)))</f>
        <v/>
      </c>
      <c r="X107" s="78" t="str">
        <f>IF($R107&lt;&gt;"OK","",ROUND(($F107*MAX(0,MIN(Setup!$C$13+1,(Setup!$C$5-Setup!$C$7))-Setup!$C$4)+$F107*Setup!$C$8*MAX(0,MIN(Setup!$C$13+1,Setup!$C$5)-MAX((Setup!$C$5-Setup!$C$7),Setup!$C$4))+$W107/4*MAX(0,MIN(Setup!$C$13+1,Setup!$C$5+4)-MAX(Setup!$C$5,Setup!$C$4))+$F107*Setup!$C$14*MAX(0,Setup!$C$13+1-MAX(Setup!$C$5+4,Setup!$C$4))),0))</f>
        <v/>
      </c>
      <c r="Y107" s="78" t="str">
        <f>IF($R107&lt;&gt;"OK","",ROUND($F107*Setup!$C$15,0))</f>
        <v/>
      </c>
      <c r="Z107" s="78" t="str">
        <f>IF($R107&lt;&gt;"OK","",IF(AND($L107&lt;&gt;"",$L107&gt;0),IF($M107&lt;=Setup!$C$13,$L107,0),0))</f>
        <v/>
      </c>
      <c r="AA107" s="78" t="str">
        <f>IF($R107&lt;&gt;"OK","",MAX(0,$X107+$Y107-$K107-$Z107))</f>
        <v/>
      </c>
      <c r="AB107" s="78" t="str">
        <f>IF($R107&lt;&gt;"OK","",IF($AA107=0,0,CEILING(MAX($AA107,IF($Q107="",0,$Q107)),IF(OR($P107="",$P107&lt;=0),1,$P107))))</f>
        <v/>
      </c>
      <c r="AC107" s="78" t="str">
        <f>IF($R107&lt;&gt;"OK","",$AB107*$D107)</f>
        <v/>
      </c>
      <c r="AD107" s="93" t="str">
        <f>IF($R107&lt;&gt;"OK","",INDEX(Setup!$D$25:$D$29,MATCH($O107,Setup!$B$25:$B$29,0)))</f>
        <v/>
      </c>
      <c r="AE107" s="93" t="str">
        <f>IF($R107&lt;&gt;"OK","",$AD107-$N107)</f>
        <v/>
      </c>
      <c r="AF107" s="79" t="str">
        <f>IF($R107&lt;&gt;"OK","",IF($AB107=0,"No order needed",IF($AE107&gt;=$AS107,"Order by the deadline",IF(AND($O107&lt;&gt;"Domestic",Setup!$D$27-$N107&gt;=$AS107),"Late by this mode: fly it",IF(Setup!$D$28-$N107&gt;=$AS107,"Late: Express courier only",IF($AG107&lt;Setup!$C$5,"Tight: lands before Black Friday",IF(AND($O107&lt;&gt;"Domestic",$AT107&lt;Setup!$C$5),"Tight: by Air lands before Black Friday",IF($AS107+$N107+Setup!$C$28+Setup!$C$11&lt;Setup!$C$5,"Tight: by Express lands before Black Friday","Too late: ration"))))))))</f>
        <v/>
      </c>
      <c r="AG107" s="93" t="str">
        <f>IF($R107&lt;&gt;"OK","",IF($AB107=0,"",$AS107+$N107+INDEX(Setup!$C$25:$C$29,MATCH($O107,Setup!$B$25:$B$29,0))+Setup!$C$11))</f>
        <v/>
      </c>
      <c r="AH107" s="93" t="str">
        <f>IF($R107&lt;&gt;"OK","",IF($F107&lt;=0,"",INT(IF($K107&lt;($F107*MAX(0,(Setup!$C$5-Setup!$C$7)-Setup!$C$4)),Setup!$C$4+$K107/$F107,IF($K107&lt;($F107*MAX(0,(Setup!$C$5-Setup!$C$7)-Setup!$C$4))+($F107*Setup!$C$8*MAX(0,Setup!$C$5-MAX((Setup!$C$5-Setup!$C$7),Setup!$C$4))),MAX((Setup!$C$5-Setup!$C$7),Setup!$C$4)+($K107-($F107*MAX(0,(Setup!$C$5-Setup!$C$7)-Setup!$C$4)))/($F107*Setup!$C$8),IF(AND($W107&gt;0,$K107&lt;($F107*MAX(0,(Setup!$C$5-Setup!$C$7)-Setup!$C$4))+($F107*Setup!$C$8*MAX(0,Setup!$C$5-MAX((Setup!$C$5-Setup!$C$7),Setup!$C$4)))+($W107/4*MAX(0,Setup!$C$5+4-MAX(Setup!$C$5,Setup!$C$4)))),MAX(Setup!$C$5,Setup!$C$4)+($K107-($F107*MAX(0,(Setup!$C$5-Setup!$C$7)-Setup!$C$4))-($F107*Setup!$C$8*MAX(0,Setup!$C$5-MAX((Setup!$C$5-Setup!$C$7),Setup!$C$4))))/($W107/4),MAX(Setup!$C$5+4,Setup!$C$4)+($K107-($F107*MAX(0,(Setup!$C$5-Setup!$C$7)-Setup!$C$4))-($F107*Setup!$C$8*MAX(0,Setup!$C$5-MAX((Setup!$C$5-Setup!$C$7),Setup!$C$4)))-($W107/4*MAX(0,Setup!$C$5+4-MAX(Setup!$C$5,Setup!$C$4))))/($F107*Setup!$C$14)))))))</f>
        <v/>
      </c>
      <c r="AI107" s="79" t="str">
        <f>IF($R107&lt;&gt;"OK","",IF(AND($L107&lt;&gt;"",$L107&gt;0,ISNUMBER($AH107),$M107&gt;$AH107),"Runs out before the incoming delivery arrives",IF($AB107=0,"OK",IF($K107+IF(AND($L107&lt;&gt;"",$L107&gt;0),IF($M107&lt;=$AG107,$L107,0),0)&lt;($F107*MAX(0,MIN($AG107,(Setup!$C$5-Setup!$C$7))-Setup!$C$4)+$F107*Setup!$C$8*MAX(0,MIN($AG107,Setup!$C$5)-MAX((Setup!$C$5-Setup!$C$7),Setup!$C$4))+$W107/4*MAX(0,MIN($AG107,Setup!$C$5+4)-MAX(Setup!$C$5,Setup!$C$4))+$F107*Setup!$C$14*MAX(0,$AG107-MAX(Setup!$C$5+4,Setup!$C$4))),"Runs out before this order can land","OK"))))</f>
        <v/>
      </c>
      <c r="AJ107" s="78" t="str">
        <f>IF($R107&lt;&gt;"OK","",IF($AB107=0,0,IF($AL107="Too slow: send it all fast",$AB107,$AR107)))</f>
        <v/>
      </c>
      <c r="AK107" s="78" t="str">
        <f>IF($R107&lt;&gt;"OK","",$AB107-$AJ107)</f>
        <v/>
      </c>
      <c r="AL107" s="78" t="str">
        <f>IF($R107&lt;&gt;"OK","",IF($AB107=0,"",IF($AB107-$AR107=0,"Nothing left over",IF($O107="Domestic",IF($AG107&lt;=Setup!$C$6+Setup!$C$20+1,"Later units can go by Domestic","Too slow: send it all fast"),IF($AS107+$N107+Setup!$C$25+Setup!$C$11&lt;=Setup!$C$6+Setup!$C$20+1,"Later units can go by Ocean long",IF($AS107+$N107+Setup!$C$26+Setup!$C$11&lt;=Setup!$C$6+Setup!$C$20+1,"Later units can go by Ocean short",IF($AS107+$N107+Setup!$C$27+Setup!$C$11&lt;=Setup!$C$6+Setup!$C$20+1,"Later units can go by Air",IF($AS107+$N107+Setup!$C$28+Setup!$C$11&lt;=Setup!$C$6+Setup!$C$20+1,"Later units can go by Express","Too slow: send it all fast"))))))))</f>
        <v/>
      </c>
      <c r="AM107" s="94" t="str">
        <f>IF($R107&lt;&gt;"OK","",$E107-$D107)</f>
        <v/>
      </c>
      <c r="AN107" s="95" t="str">
        <f>IF($R107&lt;&gt;"OK","",($E107-$D107)/$D107)</f>
        <v/>
      </c>
      <c r="AO107" s="95" t="str">
        <f>IF($R107&lt;&gt;"OK","",IF($AB107&gt;0,$AN107+IF($C107="Evergreen",1000,0),""))</f>
        <v/>
      </c>
      <c r="AP107" s="78" t="str">
        <f>IF(OR($R107&lt;&gt;"OK",$AO107=""),"",COUNTIF($AO$6:$AO$205,"&gt;"&amp;$AO107)+COUNTIF($AO$6:$AO107,$AO107))</f>
        <v/>
      </c>
      <c r="AQ107" s="78" t="str">
        <f>IF(OR($R107&lt;&gt;"OK",$AP107=""),"",INDEX('Buy list'!$G$5:$G$204,$AP107))</f>
        <v/>
      </c>
      <c r="AR107" s="78" t="str">
        <f>IF($R107&lt;&gt;"OK","",IF($AB107=0,0,MIN($AB107,CEILING(MAX(0,($F107*MAX(0,MIN((Setup!$C$6+1+Setup!$C$20),(Setup!$C$5-Setup!$C$7))-Setup!$C$4)+$F107*Setup!$C$8*MAX(0,MIN((Setup!$C$6+1+Setup!$C$20),Setup!$C$5)-MAX((Setup!$C$5-Setup!$C$7),Setup!$C$4))+$W107/4*MAX(0,MIN((Setup!$C$6+1+Setup!$C$20),Setup!$C$5+4)-MAX(Setup!$C$5,Setup!$C$4))+$F107*Setup!$C$14*MAX(0,(Setup!$C$6+1+Setup!$C$20)-MAX(Setup!$C$5+4,Setup!$C$4)))+$Y107-$K107-IF(AND($L107&lt;&gt;"",$L107&gt;0),IF($M107&lt;=Setup!$C$10,$L107,0),0)),IF(OR($P107="",$P107&lt;=0),1,$P107)))))</f>
        <v/>
      </c>
      <c r="AS107" s="96" t="str">
        <f>IF($R107&lt;&gt;"OK","",IF(AND($O107&lt;&gt;"Domestic",ISNUMBER(Setup!$C$22),Setup!$C$22&gt;Setup!$C$4),Setup!$C$22,Setup!$C$4))</f>
        <v/>
      </c>
      <c r="AT107" s="96" t="str">
        <f>IF($R107&lt;&gt;"OK","",IF($AB107=0,"",IF($O107="Domestic",$AG107,$AS107+$N107+Setup!$C$27+Setup!$C$11)))</f>
        <v/>
      </c>
    </row>
    <row r="108" ht="15" customHeight="1" s="46">
      <c r="A108" s="70" t="n"/>
      <c r="B108" s="70" t="n"/>
      <c r="C108" s="70" t="n"/>
      <c r="D108" s="85" t="n"/>
      <c r="E108" s="85" t="n"/>
      <c r="F108" s="86" t="n"/>
      <c r="G108" s="87" t="n"/>
      <c r="H108" s="88" t="n"/>
      <c r="I108" s="89" t="n"/>
      <c r="J108" s="90" t="n"/>
      <c r="K108" s="87" t="n"/>
      <c r="L108" s="87" t="n"/>
      <c r="M108" s="91" t="n"/>
      <c r="N108" s="92" t="n"/>
      <c r="O108" s="70" t="n"/>
      <c r="P108" s="92" t="n"/>
      <c r="Q108" s="87" t="n"/>
      <c r="R108" s="79" t="str">
        <f>IF($A108="","",IF($C108="","Missing: type",IF(OR($D108="",$D108&lt;=0),"Missing: unit cost",IF($E108="","Missing: unit price",IF($F108="","Missing: daily sales",IF($K108="","Missing: on hand",IF($N108="","Missing: production days",IF($O108="","Missing: freight mode",IF(ISNA(MATCH($O108,Setup!$B$25:$B$29,0)),"Unknown freight mode",IF(AND($L108&lt;&gt;"",$L108&gt;0,$M108=""),"Missing: on-order arrival date","OK"))))))))))</f>
        <v/>
      </c>
      <c r="S108" s="78" t="str">
        <f>IF($R108&lt;&gt;"OK","",IF($G108="","",ROUND($G108/IF(OR($H108="",$H108&lt;=0),4,$H108)*4,0)))</f>
        <v/>
      </c>
      <c r="T108" s="78" t="str">
        <f>IF($R108&lt;&gt;"OK","",ROUND(IF($G108="",$F108*4*Setup!$C$19,$G108/IF(OR($H108="",$H108&lt;=0),4,$H108)*4*(1+IF($I108="",Setup!$C$16,$I108)))*IF($J108="",1,$J108),0))</f>
        <v/>
      </c>
      <c r="U108" s="78" t="str">
        <f>IF($R108&lt;&gt;"OK","",ROUND($T108*Setup!$C$17,0))</f>
        <v/>
      </c>
      <c r="V108" s="78" t="str">
        <f>IF($R108&lt;&gt;"OK","",ROUND($T108*Setup!$C$18,0))</f>
        <v/>
      </c>
      <c r="W108" s="78" t="str">
        <f>IF($R108&lt;&gt;"OK","",IF($C108="Evergreen",$V108,IF($C108="Seasonal or new",$U108,$T108)))</f>
        <v/>
      </c>
      <c r="X108" s="78" t="str">
        <f>IF($R108&lt;&gt;"OK","",ROUND(($F108*MAX(0,MIN(Setup!$C$13+1,(Setup!$C$5-Setup!$C$7))-Setup!$C$4)+$F108*Setup!$C$8*MAX(0,MIN(Setup!$C$13+1,Setup!$C$5)-MAX((Setup!$C$5-Setup!$C$7),Setup!$C$4))+$W108/4*MAX(0,MIN(Setup!$C$13+1,Setup!$C$5+4)-MAX(Setup!$C$5,Setup!$C$4))+$F108*Setup!$C$14*MAX(0,Setup!$C$13+1-MAX(Setup!$C$5+4,Setup!$C$4))),0))</f>
        <v/>
      </c>
      <c r="Y108" s="78" t="str">
        <f>IF($R108&lt;&gt;"OK","",ROUND($F108*Setup!$C$15,0))</f>
        <v/>
      </c>
      <c r="Z108" s="78" t="str">
        <f>IF($R108&lt;&gt;"OK","",IF(AND($L108&lt;&gt;"",$L108&gt;0),IF($M108&lt;=Setup!$C$13,$L108,0),0))</f>
        <v/>
      </c>
      <c r="AA108" s="78" t="str">
        <f>IF($R108&lt;&gt;"OK","",MAX(0,$X108+$Y108-$K108-$Z108))</f>
        <v/>
      </c>
      <c r="AB108" s="78" t="str">
        <f>IF($R108&lt;&gt;"OK","",IF($AA108=0,0,CEILING(MAX($AA108,IF($Q108="",0,$Q108)),IF(OR($P108="",$P108&lt;=0),1,$P108))))</f>
        <v/>
      </c>
      <c r="AC108" s="78" t="str">
        <f>IF($R108&lt;&gt;"OK","",$AB108*$D108)</f>
        <v/>
      </c>
      <c r="AD108" s="93" t="str">
        <f>IF($R108&lt;&gt;"OK","",INDEX(Setup!$D$25:$D$29,MATCH($O108,Setup!$B$25:$B$29,0)))</f>
        <v/>
      </c>
      <c r="AE108" s="93" t="str">
        <f>IF($R108&lt;&gt;"OK","",$AD108-$N108)</f>
        <v/>
      </c>
      <c r="AF108" s="79" t="str">
        <f>IF($R108&lt;&gt;"OK","",IF($AB108=0,"No order needed",IF($AE108&gt;=$AS108,"Order by the deadline",IF(AND($O108&lt;&gt;"Domestic",Setup!$D$27-$N108&gt;=$AS108),"Late by this mode: fly it",IF(Setup!$D$28-$N108&gt;=$AS108,"Late: Express courier only",IF($AG108&lt;Setup!$C$5,"Tight: lands before Black Friday",IF(AND($O108&lt;&gt;"Domestic",$AT108&lt;Setup!$C$5),"Tight: by Air lands before Black Friday",IF($AS108+$N108+Setup!$C$28+Setup!$C$11&lt;Setup!$C$5,"Tight: by Express lands before Black Friday","Too late: ration"))))))))</f>
        <v/>
      </c>
      <c r="AG108" s="93" t="str">
        <f>IF($R108&lt;&gt;"OK","",IF($AB108=0,"",$AS108+$N108+INDEX(Setup!$C$25:$C$29,MATCH($O108,Setup!$B$25:$B$29,0))+Setup!$C$11))</f>
        <v/>
      </c>
      <c r="AH108" s="93" t="str">
        <f>IF($R108&lt;&gt;"OK","",IF($F108&lt;=0,"",INT(IF($K108&lt;($F108*MAX(0,(Setup!$C$5-Setup!$C$7)-Setup!$C$4)),Setup!$C$4+$K108/$F108,IF($K108&lt;($F108*MAX(0,(Setup!$C$5-Setup!$C$7)-Setup!$C$4))+($F108*Setup!$C$8*MAX(0,Setup!$C$5-MAX((Setup!$C$5-Setup!$C$7),Setup!$C$4))),MAX((Setup!$C$5-Setup!$C$7),Setup!$C$4)+($K108-($F108*MAX(0,(Setup!$C$5-Setup!$C$7)-Setup!$C$4)))/($F108*Setup!$C$8),IF(AND($W108&gt;0,$K108&lt;($F108*MAX(0,(Setup!$C$5-Setup!$C$7)-Setup!$C$4))+($F108*Setup!$C$8*MAX(0,Setup!$C$5-MAX((Setup!$C$5-Setup!$C$7),Setup!$C$4)))+($W108/4*MAX(0,Setup!$C$5+4-MAX(Setup!$C$5,Setup!$C$4)))),MAX(Setup!$C$5,Setup!$C$4)+($K108-($F108*MAX(0,(Setup!$C$5-Setup!$C$7)-Setup!$C$4))-($F108*Setup!$C$8*MAX(0,Setup!$C$5-MAX((Setup!$C$5-Setup!$C$7),Setup!$C$4))))/($W108/4),MAX(Setup!$C$5+4,Setup!$C$4)+($K108-($F108*MAX(0,(Setup!$C$5-Setup!$C$7)-Setup!$C$4))-($F108*Setup!$C$8*MAX(0,Setup!$C$5-MAX((Setup!$C$5-Setup!$C$7),Setup!$C$4)))-($W108/4*MAX(0,Setup!$C$5+4-MAX(Setup!$C$5,Setup!$C$4))))/($F108*Setup!$C$14)))))))</f>
        <v/>
      </c>
      <c r="AI108" s="79" t="str">
        <f>IF($R108&lt;&gt;"OK","",IF(AND($L108&lt;&gt;"",$L108&gt;0,ISNUMBER($AH108),$M108&gt;$AH108),"Runs out before the incoming delivery arrives",IF($AB108=0,"OK",IF($K108+IF(AND($L108&lt;&gt;"",$L108&gt;0),IF($M108&lt;=$AG108,$L108,0),0)&lt;($F108*MAX(0,MIN($AG108,(Setup!$C$5-Setup!$C$7))-Setup!$C$4)+$F108*Setup!$C$8*MAX(0,MIN($AG108,Setup!$C$5)-MAX((Setup!$C$5-Setup!$C$7),Setup!$C$4))+$W108/4*MAX(0,MIN($AG108,Setup!$C$5+4)-MAX(Setup!$C$5,Setup!$C$4))+$F108*Setup!$C$14*MAX(0,$AG108-MAX(Setup!$C$5+4,Setup!$C$4))),"Runs out before this order can land","OK"))))</f>
        <v/>
      </c>
      <c r="AJ108" s="78" t="str">
        <f>IF($R108&lt;&gt;"OK","",IF($AB108=0,0,IF($AL108="Too slow: send it all fast",$AB108,$AR108)))</f>
        <v/>
      </c>
      <c r="AK108" s="78" t="str">
        <f>IF($R108&lt;&gt;"OK","",$AB108-$AJ108)</f>
        <v/>
      </c>
      <c r="AL108" s="78" t="str">
        <f>IF($R108&lt;&gt;"OK","",IF($AB108=0,"",IF($AB108-$AR108=0,"Nothing left over",IF($O108="Domestic",IF($AG108&lt;=Setup!$C$6+Setup!$C$20+1,"Later units can go by Domestic","Too slow: send it all fast"),IF($AS108+$N108+Setup!$C$25+Setup!$C$11&lt;=Setup!$C$6+Setup!$C$20+1,"Later units can go by Ocean long",IF($AS108+$N108+Setup!$C$26+Setup!$C$11&lt;=Setup!$C$6+Setup!$C$20+1,"Later units can go by Ocean short",IF($AS108+$N108+Setup!$C$27+Setup!$C$11&lt;=Setup!$C$6+Setup!$C$20+1,"Later units can go by Air",IF($AS108+$N108+Setup!$C$28+Setup!$C$11&lt;=Setup!$C$6+Setup!$C$20+1,"Later units can go by Express","Too slow: send it all fast"))))))))</f>
        <v/>
      </c>
      <c r="AM108" s="94" t="str">
        <f>IF($R108&lt;&gt;"OK","",$E108-$D108)</f>
        <v/>
      </c>
      <c r="AN108" s="95" t="str">
        <f>IF($R108&lt;&gt;"OK","",($E108-$D108)/$D108)</f>
        <v/>
      </c>
      <c r="AO108" s="95" t="str">
        <f>IF($R108&lt;&gt;"OK","",IF($AB108&gt;0,$AN108+IF($C108="Evergreen",1000,0),""))</f>
        <v/>
      </c>
      <c r="AP108" s="78" t="str">
        <f>IF(OR($R108&lt;&gt;"OK",$AO108=""),"",COUNTIF($AO$6:$AO$205,"&gt;"&amp;$AO108)+COUNTIF($AO$6:$AO108,$AO108))</f>
        <v/>
      </c>
      <c r="AQ108" s="78" t="str">
        <f>IF(OR($R108&lt;&gt;"OK",$AP108=""),"",INDEX('Buy list'!$G$5:$G$204,$AP108))</f>
        <v/>
      </c>
      <c r="AR108" s="78" t="str">
        <f>IF($R108&lt;&gt;"OK","",IF($AB108=0,0,MIN($AB108,CEILING(MAX(0,($F108*MAX(0,MIN((Setup!$C$6+1+Setup!$C$20),(Setup!$C$5-Setup!$C$7))-Setup!$C$4)+$F108*Setup!$C$8*MAX(0,MIN((Setup!$C$6+1+Setup!$C$20),Setup!$C$5)-MAX((Setup!$C$5-Setup!$C$7),Setup!$C$4))+$W108/4*MAX(0,MIN((Setup!$C$6+1+Setup!$C$20),Setup!$C$5+4)-MAX(Setup!$C$5,Setup!$C$4))+$F108*Setup!$C$14*MAX(0,(Setup!$C$6+1+Setup!$C$20)-MAX(Setup!$C$5+4,Setup!$C$4)))+$Y108-$K108-IF(AND($L108&lt;&gt;"",$L108&gt;0),IF($M108&lt;=Setup!$C$10,$L108,0),0)),IF(OR($P108="",$P108&lt;=0),1,$P108)))))</f>
        <v/>
      </c>
      <c r="AS108" s="96" t="str">
        <f>IF($R108&lt;&gt;"OK","",IF(AND($O108&lt;&gt;"Domestic",ISNUMBER(Setup!$C$22),Setup!$C$22&gt;Setup!$C$4),Setup!$C$22,Setup!$C$4))</f>
        <v/>
      </c>
      <c r="AT108" s="96" t="str">
        <f>IF($R108&lt;&gt;"OK","",IF($AB108=0,"",IF($O108="Domestic",$AG108,$AS108+$N108+Setup!$C$27+Setup!$C$11)))</f>
        <v/>
      </c>
    </row>
    <row r="109" ht="15" customHeight="1" s="46">
      <c r="A109" s="70" t="n"/>
      <c r="B109" s="70" t="n"/>
      <c r="C109" s="70" t="n"/>
      <c r="D109" s="85" t="n"/>
      <c r="E109" s="85" t="n"/>
      <c r="F109" s="86" t="n"/>
      <c r="G109" s="87" t="n"/>
      <c r="H109" s="88" t="n"/>
      <c r="I109" s="89" t="n"/>
      <c r="J109" s="90" t="n"/>
      <c r="K109" s="87" t="n"/>
      <c r="L109" s="87" t="n"/>
      <c r="M109" s="91" t="n"/>
      <c r="N109" s="92" t="n"/>
      <c r="O109" s="70" t="n"/>
      <c r="P109" s="92" t="n"/>
      <c r="Q109" s="87" t="n"/>
      <c r="R109" s="79" t="str">
        <f>IF($A109="","",IF($C109="","Missing: type",IF(OR($D109="",$D109&lt;=0),"Missing: unit cost",IF($E109="","Missing: unit price",IF($F109="","Missing: daily sales",IF($K109="","Missing: on hand",IF($N109="","Missing: production days",IF($O109="","Missing: freight mode",IF(ISNA(MATCH($O109,Setup!$B$25:$B$29,0)),"Unknown freight mode",IF(AND($L109&lt;&gt;"",$L109&gt;0,$M109=""),"Missing: on-order arrival date","OK"))))))))))</f>
        <v/>
      </c>
      <c r="S109" s="78" t="str">
        <f>IF($R109&lt;&gt;"OK","",IF($G109="","",ROUND($G109/IF(OR($H109="",$H109&lt;=0),4,$H109)*4,0)))</f>
        <v/>
      </c>
      <c r="T109" s="78" t="str">
        <f>IF($R109&lt;&gt;"OK","",ROUND(IF($G109="",$F109*4*Setup!$C$19,$G109/IF(OR($H109="",$H109&lt;=0),4,$H109)*4*(1+IF($I109="",Setup!$C$16,$I109)))*IF($J109="",1,$J109),0))</f>
        <v/>
      </c>
      <c r="U109" s="78" t="str">
        <f>IF($R109&lt;&gt;"OK","",ROUND($T109*Setup!$C$17,0))</f>
        <v/>
      </c>
      <c r="V109" s="78" t="str">
        <f>IF($R109&lt;&gt;"OK","",ROUND($T109*Setup!$C$18,0))</f>
        <v/>
      </c>
      <c r="W109" s="78" t="str">
        <f>IF($R109&lt;&gt;"OK","",IF($C109="Evergreen",$V109,IF($C109="Seasonal or new",$U109,$T109)))</f>
        <v/>
      </c>
      <c r="X109" s="78" t="str">
        <f>IF($R109&lt;&gt;"OK","",ROUND(($F109*MAX(0,MIN(Setup!$C$13+1,(Setup!$C$5-Setup!$C$7))-Setup!$C$4)+$F109*Setup!$C$8*MAX(0,MIN(Setup!$C$13+1,Setup!$C$5)-MAX((Setup!$C$5-Setup!$C$7),Setup!$C$4))+$W109/4*MAX(0,MIN(Setup!$C$13+1,Setup!$C$5+4)-MAX(Setup!$C$5,Setup!$C$4))+$F109*Setup!$C$14*MAX(0,Setup!$C$13+1-MAX(Setup!$C$5+4,Setup!$C$4))),0))</f>
        <v/>
      </c>
      <c r="Y109" s="78" t="str">
        <f>IF($R109&lt;&gt;"OK","",ROUND($F109*Setup!$C$15,0))</f>
        <v/>
      </c>
      <c r="Z109" s="78" t="str">
        <f>IF($R109&lt;&gt;"OK","",IF(AND($L109&lt;&gt;"",$L109&gt;0),IF($M109&lt;=Setup!$C$13,$L109,0),0))</f>
        <v/>
      </c>
      <c r="AA109" s="78" t="str">
        <f>IF($R109&lt;&gt;"OK","",MAX(0,$X109+$Y109-$K109-$Z109))</f>
        <v/>
      </c>
      <c r="AB109" s="78" t="str">
        <f>IF($R109&lt;&gt;"OK","",IF($AA109=0,0,CEILING(MAX($AA109,IF($Q109="",0,$Q109)),IF(OR($P109="",$P109&lt;=0),1,$P109))))</f>
        <v/>
      </c>
      <c r="AC109" s="78" t="str">
        <f>IF($R109&lt;&gt;"OK","",$AB109*$D109)</f>
        <v/>
      </c>
      <c r="AD109" s="93" t="str">
        <f>IF($R109&lt;&gt;"OK","",INDEX(Setup!$D$25:$D$29,MATCH($O109,Setup!$B$25:$B$29,0)))</f>
        <v/>
      </c>
      <c r="AE109" s="93" t="str">
        <f>IF($R109&lt;&gt;"OK","",$AD109-$N109)</f>
        <v/>
      </c>
      <c r="AF109" s="79" t="str">
        <f>IF($R109&lt;&gt;"OK","",IF($AB109=0,"No order needed",IF($AE109&gt;=$AS109,"Order by the deadline",IF(AND($O109&lt;&gt;"Domestic",Setup!$D$27-$N109&gt;=$AS109),"Late by this mode: fly it",IF(Setup!$D$28-$N109&gt;=$AS109,"Late: Express courier only",IF($AG109&lt;Setup!$C$5,"Tight: lands before Black Friday",IF(AND($O109&lt;&gt;"Domestic",$AT109&lt;Setup!$C$5),"Tight: by Air lands before Black Friday",IF($AS109+$N109+Setup!$C$28+Setup!$C$11&lt;Setup!$C$5,"Tight: by Express lands before Black Friday","Too late: ration"))))))))</f>
        <v/>
      </c>
      <c r="AG109" s="93" t="str">
        <f>IF($R109&lt;&gt;"OK","",IF($AB109=0,"",$AS109+$N109+INDEX(Setup!$C$25:$C$29,MATCH($O109,Setup!$B$25:$B$29,0))+Setup!$C$11))</f>
        <v/>
      </c>
      <c r="AH109" s="93" t="str">
        <f>IF($R109&lt;&gt;"OK","",IF($F109&lt;=0,"",INT(IF($K109&lt;($F109*MAX(0,(Setup!$C$5-Setup!$C$7)-Setup!$C$4)),Setup!$C$4+$K109/$F109,IF($K109&lt;($F109*MAX(0,(Setup!$C$5-Setup!$C$7)-Setup!$C$4))+($F109*Setup!$C$8*MAX(0,Setup!$C$5-MAX((Setup!$C$5-Setup!$C$7),Setup!$C$4))),MAX((Setup!$C$5-Setup!$C$7),Setup!$C$4)+($K109-($F109*MAX(0,(Setup!$C$5-Setup!$C$7)-Setup!$C$4)))/($F109*Setup!$C$8),IF(AND($W109&gt;0,$K109&lt;($F109*MAX(0,(Setup!$C$5-Setup!$C$7)-Setup!$C$4))+($F109*Setup!$C$8*MAX(0,Setup!$C$5-MAX((Setup!$C$5-Setup!$C$7),Setup!$C$4)))+($W109/4*MAX(0,Setup!$C$5+4-MAX(Setup!$C$5,Setup!$C$4)))),MAX(Setup!$C$5,Setup!$C$4)+($K109-($F109*MAX(0,(Setup!$C$5-Setup!$C$7)-Setup!$C$4))-($F109*Setup!$C$8*MAX(0,Setup!$C$5-MAX((Setup!$C$5-Setup!$C$7),Setup!$C$4))))/($W109/4),MAX(Setup!$C$5+4,Setup!$C$4)+($K109-($F109*MAX(0,(Setup!$C$5-Setup!$C$7)-Setup!$C$4))-($F109*Setup!$C$8*MAX(0,Setup!$C$5-MAX((Setup!$C$5-Setup!$C$7),Setup!$C$4)))-($W109/4*MAX(0,Setup!$C$5+4-MAX(Setup!$C$5,Setup!$C$4))))/($F109*Setup!$C$14)))))))</f>
        <v/>
      </c>
      <c r="AI109" s="79" t="str">
        <f>IF($R109&lt;&gt;"OK","",IF(AND($L109&lt;&gt;"",$L109&gt;0,ISNUMBER($AH109),$M109&gt;$AH109),"Runs out before the incoming delivery arrives",IF($AB109=0,"OK",IF($K109+IF(AND($L109&lt;&gt;"",$L109&gt;0),IF($M109&lt;=$AG109,$L109,0),0)&lt;($F109*MAX(0,MIN($AG109,(Setup!$C$5-Setup!$C$7))-Setup!$C$4)+$F109*Setup!$C$8*MAX(0,MIN($AG109,Setup!$C$5)-MAX((Setup!$C$5-Setup!$C$7),Setup!$C$4))+$W109/4*MAX(0,MIN($AG109,Setup!$C$5+4)-MAX(Setup!$C$5,Setup!$C$4))+$F109*Setup!$C$14*MAX(0,$AG109-MAX(Setup!$C$5+4,Setup!$C$4))),"Runs out before this order can land","OK"))))</f>
        <v/>
      </c>
      <c r="AJ109" s="78" t="str">
        <f>IF($R109&lt;&gt;"OK","",IF($AB109=0,0,IF($AL109="Too slow: send it all fast",$AB109,$AR109)))</f>
        <v/>
      </c>
      <c r="AK109" s="78" t="str">
        <f>IF($R109&lt;&gt;"OK","",$AB109-$AJ109)</f>
        <v/>
      </c>
      <c r="AL109" s="78" t="str">
        <f>IF($R109&lt;&gt;"OK","",IF($AB109=0,"",IF($AB109-$AR109=0,"Nothing left over",IF($O109="Domestic",IF($AG109&lt;=Setup!$C$6+Setup!$C$20+1,"Later units can go by Domestic","Too slow: send it all fast"),IF($AS109+$N109+Setup!$C$25+Setup!$C$11&lt;=Setup!$C$6+Setup!$C$20+1,"Later units can go by Ocean long",IF($AS109+$N109+Setup!$C$26+Setup!$C$11&lt;=Setup!$C$6+Setup!$C$20+1,"Later units can go by Ocean short",IF($AS109+$N109+Setup!$C$27+Setup!$C$11&lt;=Setup!$C$6+Setup!$C$20+1,"Later units can go by Air",IF($AS109+$N109+Setup!$C$28+Setup!$C$11&lt;=Setup!$C$6+Setup!$C$20+1,"Later units can go by Express","Too slow: send it all fast"))))))))</f>
        <v/>
      </c>
      <c r="AM109" s="94" t="str">
        <f>IF($R109&lt;&gt;"OK","",$E109-$D109)</f>
        <v/>
      </c>
      <c r="AN109" s="95" t="str">
        <f>IF($R109&lt;&gt;"OK","",($E109-$D109)/$D109)</f>
        <v/>
      </c>
      <c r="AO109" s="95" t="str">
        <f>IF($R109&lt;&gt;"OK","",IF($AB109&gt;0,$AN109+IF($C109="Evergreen",1000,0),""))</f>
        <v/>
      </c>
      <c r="AP109" s="78" t="str">
        <f>IF(OR($R109&lt;&gt;"OK",$AO109=""),"",COUNTIF($AO$6:$AO$205,"&gt;"&amp;$AO109)+COUNTIF($AO$6:$AO109,$AO109))</f>
        <v/>
      </c>
      <c r="AQ109" s="78" t="str">
        <f>IF(OR($R109&lt;&gt;"OK",$AP109=""),"",INDEX('Buy list'!$G$5:$G$204,$AP109))</f>
        <v/>
      </c>
      <c r="AR109" s="78" t="str">
        <f>IF($R109&lt;&gt;"OK","",IF($AB109=0,0,MIN($AB109,CEILING(MAX(0,($F109*MAX(0,MIN((Setup!$C$6+1+Setup!$C$20),(Setup!$C$5-Setup!$C$7))-Setup!$C$4)+$F109*Setup!$C$8*MAX(0,MIN((Setup!$C$6+1+Setup!$C$20),Setup!$C$5)-MAX((Setup!$C$5-Setup!$C$7),Setup!$C$4))+$W109/4*MAX(0,MIN((Setup!$C$6+1+Setup!$C$20),Setup!$C$5+4)-MAX(Setup!$C$5,Setup!$C$4))+$F109*Setup!$C$14*MAX(0,(Setup!$C$6+1+Setup!$C$20)-MAX(Setup!$C$5+4,Setup!$C$4)))+$Y109-$K109-IF(AND($L109&lt;&gt;"",$L109&gt;0),IF($M109&lt;=Setup!$C$10,$L109,0),0)),IF(OR($P109="",$P109&lt;=0),1,$P109)))))</f>
        <v/>
      </c>
      <c r="AS109" s="96" t="str">
        <f>IF($R109&lt;&gt;"OK","",IF(AND($O109&lt;&gt;"Domestic",ISNUMBER(Setup!$C$22),Setup!$C$22&gt;Setup!$C$4),Setup!$C$22,Setup!$C$4))</f>
        <v/>
      </c>
      <c r="AT109" s="96" t="str">
        <f>IF($R109&lt;&gt;"OK","",IF($AB109=0,"",IF($O109="Domestic",$AG109,$AS109+$N109+Setup!$C$27+Setup!$C$11)))</f>
        <v/>
      </c>
    </row>
    <row r="110" ht="15" customHeight="1" s="46">
      <c r="A110" s="70" t="n"/>
      <c r="B110" s="70" t="n"/>
      <c r="C110" s="70" t="n"/>
      <c r="D110" s="85" t="n"/>
      <c r="E110" s="85" t="n"/>
      <c r="F110" s="86" t="n"/>
      <c r="G110" s="87" t="n"/>
      <c r="H110" s="88" t="n"/>
      <c r="I110" s="89" t="n"/>
      <c r="J110" s="90" t="n"/>
      <c r="K110" s="87" t="n"/>
      <c r="L110" s="87" t="n"/>
      <c r="M110" s="91" t="n"/>
      <c r="N110" s="92" t="n"/>
      <c r="O110" s="70" t="n"/>
      <c r="P110" s="92" t="n"/>
      <c r="Q110" s="87" t="n"/>
      <c r="R110" s="79" t="str">
        <f>IF($A110="","",IF($C110="","Missing: type",IF(OR($D110="",$D110&lt;=0),"Missing: unit cost",IF($E110="","Missing: unit price",IF($F110="","Missing: daily sales",IF($K110="","Missing: on hand",IF($N110="","Missing: production days",IF($O110="","Missing: freight mode",IF(ISNA(MATCH($O110,Setup!$B$25:$B$29,0)),"Unknown freight mode",IF(AND($L110&lt;&gt;"",$L110&gt;0,$M110=""),"Missing: on-order arrival date","OK"))))))))))</f>
        <v/>
      </c>
      <c r="S110" s="78" t="str">
        <f>IF($R110&lt;&gt;"OK","",IF($G110="","",ROUND($G110/IF(OR($H110="",$H110&lt;=0),4,$H110)*4,0)))</f>
        <v/>
      </c>
      <c r="T110" s="78" t="str">
        <f>IF($R110&lt;&gt;"OK","",ROUND(IF($G110="",$F110*4*Setup!$C$19,$G110/IF(OR($H110="",$H110&lt;=0),4,$H110)*4*(1+IF($I110="",Setup!$C$16,$I110)))*IF($J110="",1,$J110),0))</f>
        <v/>
      </c>
      <c r="U110" s="78" t="str">
        <f>IF($R110&lt;&gt;"OK","",ROUND($T110*Setup!$C$17,0))</f>
        <v/>
      </c>
      <c r="V110" s="78" t="str">
        <f>IF($R110&lt;&gt;"OK","",ROUND($T110*Setup!$C$18,0))</f>
        <v/>
      </c>
      <c r="W110" s="78" t="str">
        <f>IF($R110&lt;&gt;"OK","",IF($C110="Evergreen",$V110,IF($C110="Seasonal or new",$U110,$T110)))</f>
        <v/>
      </c>
      <c r="X110" s="78" t="str">
        <f>IF($R110&lt;&gt;"OK","",ROUND(($F110*MAX(0,MIN(Setup!$C$13+1,(Setup!$C$5-Setup!$C$7))-Setup!$C$4)+$F110*Setup!$C$8*MAX(0,MIN(Setup!$C$13+1,Setup!$C$5)-MAX((Setup!$C$5-Setup!$C$7),Setup!$C$4))+$W110/4*MAX(0,MIN(Setup!$C$13+1,Setup!$C$5+4)-MAX(Setup!$C$5,Setup!$C$4))+$F110*Setup!$C$14*MAX(0,Setup!$C$13+1-MAX(Setup!$C$5+4,Setup!$C$4))),0))</f>
        <v/>
      </c>
      <c r="Y110" s="78" t="str">
        <f>IF($R110&lt;&gt;"OK","",ROUND($F110*Setup!$C$15,0))</f>
        <v/>
      </c>
      <c r="Z110" s="78" t="str">
        <f>IF($R110&lt;&gt;"OK","",IF(AND($L110&lt;&gt;"",$L110&gt;0),IF($M110&lt;=Setup!$C$13,$L110,0),0))</f>
        <v/>
      </c>
      <c r="AA110" s="78" t="str">
        <f>IF($R110&lt;&gt;"OK","",MAX(0,$X110+$Y110-$K110-$Z110))</f>
        <v/>
      </c>
      <c r="AB110" s="78" t="str">
        <f>IF($R110&lt;&gt;"OK","",IF($AA110=0,0,CEILING(MAX($AA110,IF($Q110="",0,$Q110)),IF(OR($P110="",$P110&lt;=0),1,$P110))))</f>
        <v/>
      </c>
      <c r="AC110" s="78" t="str">
        <f>IF($R110&lt;&gt;"OK","",$AB110*$D110)</f>
        <v/>
      </c>
      <c r="AD110" s="93" t="str">
        <f>IF($R110&lt;&gt;"OK","",INDEX(Setup!$D$25:$D$29,MATCH($O110,Setup!$B$25:$B$29,0)))</f>
        <v/>
      </c>
      <c r="AE110" s="93" t="str">
        <f>IF($R110&lt;&gt;"OK","",$AD110-$N110)</f>
        <v/>
      </c>
      <c r="AF110" s="79" t="str">
        <f>IF($R110&lt;&gt;"OK","",IF($AB110=0,"No order needed",IF($AE110&gt;=$AS110,"Order by the deadline",IF(AND($O110&lt;&gt;"Domestic",Setup!$D$27-$N110&gt;=$AS110),"Late by this mode: fly it",IF(Setup!$D$28-$N110&gt;=$AS110,"Late: Express courier only",IF($AG110&lt;Setup!$C$5,"Tight: lands before Black Friday",IF(AND($O110&lt;&gt;"Domestic",$AT110&lt;Setup!$C$5),"Tight: by Air lands before Black Friday",IF($AS110+$N110+Setup!$C$28+Setup!$C$11&lt;Setup!$C$5,"Tight: by Express lands before Black Friday","Too late: ration"))))))))</f>
        <v/>
      </c>
      <c r="AG110" s="93" t="str">
        <f>IF($R110&lt;&gt;"OK","",IF($AB110=0,"",$AS110+$N110+INDEX(Setup!$C$25:$C$29,MATCH($O110,Setup!$B$25:$B$29,0))+Setup!$C$11))</f>
        <v/>
      </c>
      <c r="AH110" s="93" t="str">
        <f>IF($R110&lt;&gt;"OK","",IF($F110&lt;=0,"",INT(IF($K110&lt;($F110*MAX(0,(Setup!$C$5-Setup!$C$7)-Setup!$C$4)),Setup!$C$4+$K110/$F110,IF($K110&lt;($F110*MAX(0,(Setup!$C$5-Setup!$C$7)-Setup!$C$4))+($F110*Setup!$C$8*MAX(0,Setup!$C$5-MAX((Setup!$C$5-Setup!$C$7),Setup!$C$4))),MAX((Setup!$C$5-Setup!$C$7),Setup!$C$4)+($K110-($F110*MAX(0,(Setup!$C$5-Setup!$C$7)-Setup!$C$4)))/($F110*Setup!$C$8),IF(AND($W110&gt;0,$K110&lt;($F110*MAX(0,(Setup!$C$5-Setup!$C$7)-Setup!$C$4))+($F110*Setup!$C$8*MAX(0,Setup!$C$5-MAX((Setup!$C$5-Setup!$C$7),Setup!$C$4)))+($W110/4*MAX(0,Setup!$C$5+4-MAX(Setup!$C$5,Setup!$C$4)))),MAX(Setup!$C$5,Setup!$C$4)+($K110-($F110*MAX(0,(Setup!$C$5-Setup!$C$7)-Setup!$C$4))-($F110*Setup!$C$8*MAX(0,Setup!$C$5-MAX((Setup!$C$5-Setup!$C$7),Setup!$C$4))))/($W110/4),MAX(Setup!$C$5+4,Setup!$C$4)+($K110-($F110*MAX(0,(Setup!$C$5-Setup!$C$7)-Setup!$C$4))-($F110*Setup!$C$8*MAX(0,Setup!$C$5-MAX((Setup!$C$5-Setup!$C$7),Setup!$C$4)))-($W110/4*MAX(0,Setup!$C$5+4-MAX(Setup!$C$5,Setup!$C$4))))/($F110*Setup!$C$14)))))))</f>
        <v/>
      </c>
      <c r="AI110" s="79" t="str">
        <f>IF($R110&lt;&gt;"OK","",IF(AND($L110&lt;&gt;"",$L110&gt;0,ISNUMBER($AH110),$M110&gt;$AH110),"Runs out before the incoming delivery arrives",IF($AB110=0,"OK",IF($K110+IF(AND($L110&lt;&gt;"",$L110&gt;0),IF($M110&lt;=$AG110,$L110,0),0)&lt;($F110*MAX(0,MIN($AG110,(Setup!$C$5-Setup!$C$7))-Setup!$C$4)+$F110*Setup!$C$8*MAX(0,MIN($AG110,Setup!$C$5)-MAX((Setup!$C$5-Setup!$C$7),Setup!$C$4))+$W110/4*MAX(0,MIN($AG110,Setup!$C$5+4)-MAX(Setup!$C$5,Setup!$C$4))+$F110*Setup!$C$14*MAX(0,$AG110-MAX(Setup!$C$5+4,Setup!$C$4))),"Runs out before this order can land","OK"))))</f>
        <v/>
      </c>
      <c r="AJ110" s="78" t="str">
        <f>IF($R110&lt;&gt;"OK","",IF($AB110=0,0,IF($AL110="Too slow: send it all fast",$AB110,$AR110)))</f>
        <v/>
      </c>
      <c r="AK110" s="78" t="str">
        <f>IF($R110&lt;&gt;"OK","",$AB110-$AJ110)</f>
        <v/>
      </c>
      <c r="AL110" s="78" t="str">
        <f>IF($R110&lt;&gt;"OK","",IF($AB110=0,"",IF($AB110-$AR110=0,"Nothing left over",IF($O110="Domestic",IF($AG110&lt;=Setup!$C$6+Setup!$C$20+1,"Later units can go by Domestic","Too slow: send it all fast"),IF($AS110+$N110+Setup!$C$25+Setup!$C$11&lt;=Setup!$C$6+Setup!$C$20+1,"Later units can go by Ocean long",IF($AS110+$N110+Setup!$C$26+Setup!$C$11&lt;=Setup!$C$6+Setup!$C$20+1,"Later units can go by Ocean short",IF($AS110+$N110+Setup!$C$27+Setup!$C$11&lt;=Setup!$C$6+Setup!$C$20+1,"Later units can go by Air",IF($AS110+$N110+Setup!$C$28+Setup!$C$11&lt;=Setup!$C$6+Setup!$C$20+1,"Later units can go by Express","Too slow: send it all fast"))))))))</f>
        <v/>
      </c>
      <c r="AM110" s="94" t="str">
        <f>IF($R110&lt;&gt;"OK","",$E110-$D110)</f>
        <v/>
      </c>
      <c r="AN110" s="95" t="str">
        <f>IF($R110&lt;&gt;"OK","",($E110-$D110)/$D110)</f>
        <v/>
      </c>
      <c r="AO110" s="95" t="str">
        <f>IF($R110&lt;&gt;"OK","",IF($AB110&gt;0,$AN110+IF($C110="Evergreen",1000,0),""))</f>
        <v/>
      </c>
      <c r="AP110" s="78" t="str">
        <f>IF(OR($R110&lt;&gt;"OK",$AO110=""),"",COUNTIF($AO$6:$AO$205,"&gt;"&amp;$AO110)+COUNTIF($AO$6:$AO110,$AO110))</f>
        <v/>
      </c>
      <c r="AQ110" s="78" t="str">
        <f>IF(OR($R110&lt;&gt;"OK",$AP110=""),"",INDEX('Buy list'!$G$5:$G$204,$AP110))</f>
        <v/>
      </c>
      <c r="AR110" s="78" t="str">
        <f>IF($R110&lt;&gt;"OK","",IF($AB110=0,0,MIN($AB110,CEILING(MAX(0,($F110*MAX(0,MIN((Setup!$C$6+1+Setup!$C$20),(Setup!$C$5-Setup!$C$7))-Setup!$C$4)+$F110*Setup!$C$8*MAX(0,MIN((Setup!$C$6+1+Setup!$C$20),Setup!$C$5)-MAX((Setup!$C$5-Setup!$C$7),Setup!$C$4))+$W110/4*MAX(0,MIN((Setup!$C$6+1+Setup!$C$20),Setup!$C$5+4)-MAX(Setup!$C$5,Setup!$C$4))+$F110*Setup!$C$14*MAX(0,(Setup!$C$6+1+Setup!$C$20)-MAX(Setup!$C$5+4,Setup!$C$4)))+$Y110-$K110-IF(AND($L110&lt;&gt;"",$L110&gt;0),IF($M110&lt;=Setup!$C$10,$L110,0),0)),IF(OR($P110="",$P110&lt;=0),1,$P110)))))</f>
        <v/>
      </c>
      <c r="AS110" s="96" t="str">
        <f>IF($R110&lt;&gt;"OK","",IF(AND($O110&lt;&gt;"Domestic",ISNUMBER(Setup!$C$22),Setup!$C$22&gt;Setup!$C$4),Setup!$C$22,Setup!$C$4))</f>
        <v/>
      </c>
      <c r="AT110" s="96" t="str">
        <f>IF($R110&lt;&gt;"OK","",IF($AB110=0,"",IF($O110="Domestic",$AG110,$AS110+$N110+Setup!$C$27+Setup!$C$11)))</f>
        <v/>
      </c>
    </row>
    <row r="111" ht="15" customHeight="1" s="46">
      <c r="A111" s="70" t="n"/>
      <c r="B111" s="70" t="n"/>
      <c r="C111" s="70" t="n"/>
      <c r="D111" s="85" t="n"/>
      <c r="E111" s="85" t="n"/>
      <c r="F111" s="86" t="n"/>
      <c r="G111" s="87" t="n"/>
      <c r="H111" s="88" t="n"/>
      <c r="I111" s="89" t="n"/>
      <c r="J111" s="90" t="n"/>
      <c r="K111" s="87" t="n"/>
      <c r="L111" s="87" t="n"/>
      <c r="M111" s="91" t="n"/>
      <c r="N111" s="92" t="n"/>
      <c r="O111" s="70" t="n"/>
      <c r="P111" s="92" t="n"/>
      <c r="Q111" s="87" t="n"/>
      <c r="R111" s="79" t="str">
        <f>IF($A111="","",IF($C111="","Missing: type",IF(OR($D111="",$D111&lt;=0),"Missing: unit cost",IF($E111="","Missing: unit price",IF($F111="","Missing: daily sales",IF($K111="","Missing: on hand",IF($N111="","Missing: production days",IF($O111="","Missing: freight mode",IF(ISNA(MATCH($O111,Setup!$B$25:$B$29,0)),"Unknown freight mode",IF(AND($L111&lt;&gt;"",$L111&gt;0,$M111=""),"Missing: on-order arrival date","OK"))))))))))</f>
        <v/>
      </c>
      <c r="S111" s="78" t="str">
        <f>IF($R111&lt;&gt;"OK","",IF($G111="","",ROUND($G111/IF(OR($H111="",$H111&lt;=0),4,$H111)*4,0)))</f>
        <v/>
      </c>
      <c r="T111" s="78" t="str">
        <f>IF($R111&lt;&gt;"OK","",ROUND(IF($G111="",$F111*4*Setup!$C$19,$G111/IF(OR($H111="",$H111&lt;=0),4,$H111)*4*(1+IF($I111="",Setup!$C$16,$I111)))*IF($J111="",1,$J111),0))</f>
        <v/>
      </c>
      <c r="U111" s="78" t="str">
        <f>IF($R111&lt;&gt;"OK","",ROUND($T111*Setup!$C$17,0))</f>
        <v/>
      </c>
      <c r="V111" s="78" t="str">
        <f>IF($R111&lt;&gt;"OK","",ROUND($T111*Setup!$C$18,0))</f>
        <v/>
      </c>
      <c r="W111" s="78" t="str">
        <f>IF($R111&lt;&gt;"OK","",IF($C111="Evergreen",$V111,IF($C111="Seasonal or new",$U111,$T111)))</f>
        <v/>
      </c>
      <c r="X111" s="78" t="str">
        <f>IF($R111&lt;&gt;"OK","",ROUND(($F111*MAX(0,MIN(Setup!$C$13+1,(Setup!$C$5-Setup!$C$7))-Setup!$C$4)+$F111*Setup!$C$8*MAX(0,MIN(Setup!$C$13+1,Setup!$C$5)-MAX((Setup!$C$5-Setup!$C$7),Setup!$C$4))+$W111/4*MAX(0,MIN(Setup!$C$13+1,Setup!$C$5+4)-MAX(Setup!$C$5,Setup!$C$4))+$F111*Setup!$C$14*MAX(0,Setup!$C$13+1-MAX(Setup!$C$5+4,Setup!$C$4))),0))</f>
        <v/>
      </c>
      <c r="Y111" s="78" t="str">
        <f>IF($R111&lt;&gt;"OK","",ROUND($F111*Setup!$C$15,0))</f>
        <v/>
      </c>
      <c r="Z111" s="78" t="str">
        <f>IF($R111&lt;&gt;"OK","",IF(AND($L111&lt;&gt;"",$L111&gt;0),IF($M111&lt;=Setup!$C$13,$L111,0),0))</f>
        <v/>
      </c>
      <c r="AA111" s="78" t="str">
        <f>IF($R111&lt;&gt;"OK","",MAX(0,$X111+$Y111-$K111-$Z111))</f>
        <v/>
      </c>
      <c r="AB111" s="78" t="str">
        <f>IF($R111&lt;&gt;"OK","",IF($AA111=0,0,CEILING(MAX($AA111,IF($Q111="",0,$Q111)),IF(OR($P111="",$P111&lt;=0),1,$P111))))</f>
        <v/>
      </c>
      <c r="AC111" s="78" t="str">
        <f>IF($R111&lt;&gt;"OK","",$AB111*$D111)</f>
        <v/>
      </c>
      <c r="AD111" s="93" t="str">
        <f>IF($R111&lt;&gt;"OK","",INDEX(Setup!$D$25:$D$29,MATCH($O111,Setup!$B$25:$B$29,0)))</f>
        <v/>
      </c>
      <c r="AE111" s="93" t="str">
        <f>IF($R111&lt;&gt;"OK","",$AD111-$N111)</f>
        <v/>
      </c>
      <c r="AF111" s="79" t="str">
        <f>IF($R111&lt;&gt;"OK","",IF($AB111=0,"No order needed",IF($AE111&gt;=$AS111,"Order by the deadline",IF(AND($O111&lt;&gt;"Domestic",Setup!$D$27-$N111&gt;=$AS111),"Late by this mode: fly it",IF(Setup!$D$28-$N111&gt;=$AS111,"Late: Express courier only",IF($AG111&lt;Setup!$C$5,"Tight: lands before Black Friday",IF(AND($O111&lt;&gt;"Domestic",$AT111&lt;Setup!$C$5),"Tight: by Air lands before Black Friday",IF($AS111+$N111+Setup!$C$28+Setup!$C$11&lt;Setup!$C$5,"Tight: by Express lands before Black Friday","Too late: ration"))))))))</f>
        <v/>
      </c>
      <c r="AG111" s="93" t="str">
        <f>IF($R111&lt;&gt;"OK","",IF($AB111=0,"",$AS111+$N111+INDEX(Setup!$C$25:$C$29,MATCH($O111,Setup!$B$25:$B$29,0))+Setup!$C$11))</f>
        <v/>
      </c>
      <c r="AH111" s="93" t="str">
        <f>IF($R111&lt;&gt;"OK","",IF($F111&lt;=0,"",INT(IF($K111&lt;($F111*MAX(0,(Setup!$C$5-Setup!$C$7)-Setup!$C$4)),Setup!$C$4+$K111/$F111,IF($K111&lt;($F111*MAX(0,(Setup!$C$5-Setup!$C$7)-Setup!$C$4))+($F111*Setup!$C$8*MAX(0,Setup!$C$5-MAX((Setup!$C$5-Setup!$C$7),Setup!$C$4))),MAX((Setup!$C$5-Setup!$C$7),Setup!$C$4)+($K111-($F111*MAX(0,(Setup!$C$5-Setup!$C$7)-Setup!$C$4)))/($F111*Setup!$C$8),IF(AND($W111&gt;0,$K111&lt;($F111*MAX(0,(Setup!$C$5-Setup!$C$7)-Setup!$C$4))+($F111*Setup!$C$8*MAX(0,Setup!$C$5-MAX((Setup!$C$5-Setup!$C$7),Setup!$C$4)))+($W111/4*MAX(0,Setup!$C$5+4-MAX(Setup!$C$5,Setup!$C$4)))),MAX(Setup!$C$5,Setup!$C$4)+($K111-($F111*MAX(0,(Setup!$C$5-Setup!$C$7)-Setup!$C$4))-($F111*Setup!$C$8*MAX(0,Setup!$C$5-MAX((Setup!$C$5-Setup!$C$7),Setup!$C$4))))/($W111/4),MAX(Setup!$C$5+4,Setup!$C$4)+($K111-($F111*MAX(0,(Setup!$C$5-Setup!$C$7)-Setup!$C$4))-($F111*Setup!$C$8*MAX(0,Setup!$C$5-MAX((Setup!$C$5-Setup!$C$7),Setup!$C$4)))-($W111/4*MAX(0,Setup!$C$5+4-MAX(Setup!$C$5,Setup!$C$4))))/($F111*Setup!$C$14)))))))</f>
        <v/>
      </c>
      <c r="AI111" s="79" t="str">
        <f>IF($R111&lt;&gt;"OK","",IF(AND($L111&lt;&gt;"",$L111&gt;0,ISNUMBER($AH111),$M111&gt;$AH111),"Runs out before the incoming delivery arrives",IF($AB111=0,"OK",IF($K111+IF(AND($L111&lt;&gt;"",$L111&gt;0),IF($M111&lt;=$AG111,$L111,0),0)&lt;($F111*MAX(0,MIN($AG111,(Setup!$C$5-Setup!$C$7))-Setup!$C$4)+$F111*Setup!$C$8*MAX(0,MIN($AG111,Setup!$C$5)-MAX((Setup!$C$5-Setup!$C$7),Setup!$C$4))+$W111/4*MAX(0,MIN($AG111,Setup!$C$5+4)-MAX(Setup!$C$5,Setup!$C$4))+$F111*Setup!$C$14*MAX(0,$AG111-MAX(Setup!$C$5+4,Setup!$C$4))),"Runs out before this order can land","OK"))))</f>
        <v/>
      </c>
      <c r="AJ111" s="78" t="str">
        <f>IF($R111&lt;&gt;"OK","",IF($AB111=0,0,IF($AL111="Too slow: send it all fast",$AB111,$AR111)))</f>
        <v/>
      </c>
      <c r="AK111" s="78" t="str">
        <f>IF($R111&lt;&gt;"OK","",$AB111-$AJ111)</f>
        <v/>
      </c>
      <c r="AL111" s="78" t="str">
        <f>IF($R111&lt;&gt;"OK","",IF($AB111=0,"",IF($AB111-$AR111=0,"Nothing left over",IF($O111="Domestic",IF($AG111&lt;=Setup!$C$6+Setup!$C$20+1,"Later units can go by Domestic","Too slow: send it all fast"),IF($AS111+$N111+Setup!$C$25+Setup!$C$11&lt;=Setup!$C$6+Setup!$C$20+1,"Later units can go by Ocean long",IF($AS111+$N111+Setup!$C$26+Setup!$C$11&lt;=Setup!$C$6+Setup!$C$20+1,"Later units can go by Ocean short",IF($AS111+$N111+Setup!$C$27+Setup!$C$11&lt;=Setup!$C$6+Setup!$C$20+1,"Later units can go by Air",IF($AS111+$N111+Setup!$C$28+Setup!$C$11&lt;=Setup!$C$6+Setup!$C$20+1,"Later units can go by Express","Too slow: send it all fast"))))))))</f>
        <v/>
      </c>
      <c r="AM111" s="94" t="str">
        <f>IF($R111&lt;&gt;"OK","",$E111-$D111)</f>
        <v/>
      </c>
      <c r="AN111" s="95" t="str">
        <f>IF($R111&lt;&gt;"OK","",($E111-$D111)/$D111)</f>
        <v/>
      </c>
      <c r="AO111" s="95" t="str">
        <f>IF($R111&lt;&gt;"OK","",IF($AB111&gt;0,$AN111+IF($C111="Evergreen",1000,0),""))</f>
        <v/>
      </c>
      <c r="AP111" s="78" t="str">
        <f>IF(OR($R111&lt;&gt;"OK",$AO111=""),"",COUNTIF($AO$6:$AO$205,"&gt;"&amp;$AO111)+COUNTIF($AO$6:$AO111,$AO111))</f>
        <v/>
      </c>
      <c r="AQ111" s="78" t="str">
        <f>IF(OR($R111&lt;&gt;"OK",$AP111=""),"",INDEX('Buy list'!$G$5:$G$204,$AP111))</f>
        <v/>
      </c>
      <c r="AR111" s="78" t="str">
        <f>IF($R111&lt;&gt;"OK","",IF($AB111=0,0,MIN($AB111,CEILING(MAX(0,($F111*MAX(0,MIN((Setup!$C$6+1+Setup!$C$20),(Setup!$C$5-Setup!$C$7))-Setup!$C$4)+$F111*Setup!$C$8*MAX(0,MIN((Setup!$C$6+1+Setup!$C$20),Setup!$C$5)-MAX((Setup!$C$5-Setup!$C$7),Setup!$C$4))+$W111/4*MAX(0,MIN((Setup!$C$6+1+Setup!$C$20),Setup!$C$5+4)-MAX(Setup!$C$5,Setup!$C$4))+$F111*Setup!$C$14*MAX(0,(Setup!$C$6+1+Setup!$C$20)-MAX(Setup!$C$5+4,Setup!$C$4)))+$Y111-$K111-IF(AND($L111&lt;&gt;"",$L111&gt;0),IF($M111&lt;=Setup!$C$10,$L111,0),0)),IF(OR($P111="",$P111&lt;=0),1,$P111)))))</f>
        <v/>
      </c>
      <c r="AS111" s="96" t="str">
        <f>IF($R111&lt;&gt;"OK","",IF(AND($O111&lt;&gt;"Domestic",ISNUMBER(Setup!$C$22),Setup!$C$22&gt;Setup!$C$4),Setup!$C$22,Setup!$C$4))</f>
        <v/>
      </c>
      <c r="AT111" s="96" t="str">
        <f>IF($R111&lt;&gt;"OK","",IF($AB111=0,"",IF($O111="Domestic",$AG111,$AS111+$N111+Setup!$C$27+Setup!$C$11)))</f>
        <v/>
      </c>
    </row>
    <row r="112" ht="15" customHeight="1" s="46">
      <c r="A112" s="70" t="n"/>
      <c r="B112" s="70" t="n"/>
      <c r="C112" s="70" t="n"/>
      <c r="D112" s="85" t="n"/>
      <c r="E112" s="85" t="n"/>
      <c r="F112" s="86" t="n"/>
      <c r="G112" s="87" t="n"/>
      <c r="H112" s="88" t="n"/>
      <c r="I112" s="89" t="n"/>
      <c r="J112" s="90" t="n"/>
      <c r="K112" s="87" t="n"/>
      <c r="L112" s="87" t="n"/>
      <c r="M112" s="91" t="n"/>
      <c r="N112" s="92" t="n"/>
      <c r="O112" s="70" t="n"/>
      <c r="P112" s="92" t="n"/>
      <c r="Q112" s="87" t="n"/>
      <c r="R112" s="79" t="str">
        <f>IF($A112="","",IF($C112="","Missing: type",IF(OR($D112="",$D112&lt;=0),"Missing: unit cost",IF($E112="","Missing: unit price",IF($F112="","Missing: daily sales",IF($K112="","Missing: on hand",IF($N112="","Missing: production days",IF($O112="","Missing: freight mode",IF(ISNA(MATCH($O112,Setup!$B$25:$B$29,0)),"Unknown freight mode",IF(AND($L112&lt;&gt;"",$L112&gt;0,$M112=""),"Missing: on-order arrival date","OK"))))))))))</f>
        <v/>
      </c>
      <c r="S112" s="78" t="str">
        <f>IF($R112&lt;&gt;"OK","",IF($G112="","",ROUND($G112/IF(OR($H112="",$H112&lt;=0),4,$H112)*4,0)))</f>
        <v/>
      </c>
      <c r="T112" s="78" t="str">
        <f>IF($R112&lt;&gt;"OK","",ROUND(IF($G112="",$F112*4*Setup!$C$19,$G112/IF(OR($H112="",$H112&lt;=0),4,$H112)*4*(1+IF($I112="",Setup!$C$16,$I112)))*IF($J112="",1,$J112),0))</f>
        <v/>
      </c>
      <c r="U112" s="78" t="str">
        <f>IF($R112&lt;&gt;"OK","",ROUND($T112*Setup!$C$17,0))</f>
        <v/>
      </c>
      <c r="V112" s="78" t="str">
        <f>IF($R112&lt;&gt;"OK","",ROUND($T112*Setup!$C$18,0))</f>
        <v/>
      </c>
      <c r="W112" s="78" t="str">
        <f>IF($R112&lt;&gt;"OK","",IF($C112="Evergreen",$V112,IF($C112="Seasonal or new",$U112,$T112)))</f>
        <v/>
      </c>
      <c r="X112" s="78" t="str">
        <f>IF($R112&lt;&gt;"OK","",ROUND(($F112*MAX(0,MIN(Setup!$C$13+1,(Setup!$C$5-Setup!$C$7))-Setup!$C$4)+$F112*Setup!$C$8*MAX(0,MIN(Setup!$C$13+1,Setup!$C$5)-MAX((Setup!$C$5-Setup!$C$7),Setup!$C$4))+$W112/4*MAX(0,MIN(Setup!$C$13+1,Setup!$C$5+4)-MAX(Setup!$C$5,Setup!$C$4))+$F112*Setup!$C$14*MAX(0,Setup!$C$13+1-MAX(Setup!$C$5+4,Setup!$C$4))),0))</f>
        <v/>
      </c>
      <c r="Y112" s="78" t="str">
        <f>IF($R112&lt;&gt;"OK","",ROUND($F112*Setup!$C$15,0))</f>
        <v/>
      </c>
      <c r="Z112" s="78" t="str">
        <f>IF($R112&lt;&gt;"OK","",IF(AND($L112&lt;&gt;"",$L112&gt;0),IF($M112&lt;=Setup!$C$13,$L112,0),0))</f>
        <v/>
      </c>
      <c r="AA112" s="78" t="str">
        <f>IF($R112&lt;&gt;"OK","",MAX(0,$X112+$Y112-$K112-$Z112))</f>
        <v/>
      </c>
      <c r="AB112" s="78" t="str">
        <f>IF($R112&lt;&gt;"OK","",IF($AA112=0,0,CEILING(MAX($AA112,IF($Q112="",0,$Q112)),IF(OR($P112="",$P112&lt;=0),1,$P112))))</f>
        <v/>
      </c>
      <c r="AC112" s="78" t="str">
        <f>IF($R112&lt;&gt;"OK","",$AB112*$D112)</f>
        <v/>
      </c>
      <c r="AD112" s="93" t="str">
        <f>IF($R112&lt;&gt;"OK","",INDEX(Setup!$D$25:$D$29,MATCH($O112,Setup!$B$25:$B$29,0)))</f>
        <v/>
      </c>
      <c r="AE112" s="93" t="str">
        <f>IF($R112&lt;&gt;"OK","",$AD112-$N112)</f>
        <v/>
      </c>
      <c r="AF112" s="79" t="str">
        <f>IF($R112&lt;&gt;"OK","",IF($AB112=0,"No order needed",IF($AE112&gt;=$AS112,"Order by the deadline",IF(AND($O112&lt;&gt;"Domestic",Setup!$D$27-$N112&gt;=$AS112),"Late by this mode: fly it",IF(Setup!$D$28-$N112&gt;=$AS112,"Late: Express courier only",IF($AG112&lt;Setup!$C$5,"Tight: lands before Black Friday",IF(AND($O112&lt;&gt;"Domestic",$AT112&lt;Setup!$C$5),"Tight: by Air lands before Black Friday",IF($AS112+$N112+Setup!$C$28+Setup!$C$11&lt;Setup!$C$5,"Tight: by Express lands before Black Friday","Too late: ration"))))))))</f>
        <v/>
      </c>
      <c r="AG112" s="93" t="str">
        <f>IF($R112&lt;&gt;"OK","",IF($AB112=0,"",$AS112+$N112+INDEX(Setup!$C$25:$C$29,MATCH($O112,Setup!$B$25:$B$29,0))+Setup!$C$11))</f>
        <v/>
      </c>
      <c r="AH112" s="93" t="str">
        <f>IF($R112&lt;&gt;"OK","",IF($F112&lt;=0,"",INT(IF($K112&lt;($F112*MAX(0,(Setup!$C$5-Setup!$C$7)-Setup!$C$4)),Setup!$C$4+$K112/$F112,IF($K112&lt;($F112*MAX(0,(Setup!$C$5-Setup!$C$7)-Setup!$C$4))+($F112*Setup!$C$8*MAX(0,Setup!$C$5-MAX((Setup!$C$5-Setup!$C$7),Setup!$C$4))),MAX((Setup!$C$5-Setup!$C$7),Setup!$C$4)+($K112-($F112*MAX(0,(Setup!$C$5-Setup!$C$7)-Setup!$C$4)))/($F112*Setup!$C$8),IF(AND($W112&gt;0,$K112&lt;($F112*MAX(0,(Setup!$C$5-Setup!$C$7)-Setup!$C$4))+($F112*Setup!$C$8*MAX(0,Setup!$C$5-MAX((Setup!$C$5-Setup!$C$7),Setup!$C$4)))+($W112/4*MAX(0,Setup!$C$5+4-MAX(Setup!$C$5,Setup!$C$4)))),MAX(Setup!$C$5,Setup!$C$4)+($K112-($F112*MAX(0,(Setup!$C$5-Setup!$C$7)-Setup!$C$4))-($F112*Setup!$C$8*MAX(0,Setup!$C$5-MAX((Setup!$C$5-Setup!$C$7),Setup!$C$4))))/($W112/4),MAX(Setup!$C$5+4,Setup!$C$4)+($K112-($F112*MAX(0,(Setup!$C$5-Setup!$C$7)-Setup!$C$4))-($F112*Setup!$C$8*MAX(0,Setup!$C$5-MAX((Setup!$C$5-Setup!$C$7),Setup!$C$4)))-($W112/4*MAX(0,Setup!$C$5+4-MAX(Setup!$C$5,Setup!$C$4))))/($F112*Setup!$C$14)))))))</f>
        <v/>
      </c>
      <c r="AI112" s="79" t="str">
        <f>IF($R112&lt;&gt;"OK","",IF(AND($L112&lt;&gt;"",$L112&gt;0,ISNUMBER($AH112),$M112&gt;$AH112),"Runs out before the incoming delivery arrives",IF($AB112=0,"OK",IF($K112+IF(AND($L112&lt;&gt;"",$L112&gt;0),IF($M112&lt;=$AG112,$L112,0),0)&lt;($F112*MAX(0,MIN($AG112,(Setup!$C$5-Setup!$C$7))-Setup!$C$4)+$F112*Setup!$C$8*MAX(0,MIN($AG112,Setup!$C$5)-MAX((Setup!$C$5-Setup!$C$7),Setup!$C$4))+$W112/4*MAX(0,MIN($AG112,Setup!$C$5+4)-MAX(Setup!$C$5,Setup!$C$4))+$F112*Setup!$C$14*MAX(0,$AG112-MAX(Setup!$C$5+4,Setup!$C$4))),"Runs out before this order can land","OK"))))</f>
        <v/>
      </c>
      <c r="AJ112" s="78" t="str">
        <f>IF($R112&lt;&gt;"OK","",IF($AB112=0,0,IF($AL112="Too slow: send it all fast",$AB112,$AR112)))</f>
        <v/>
      </c>
      <c r="AK112" s="78" t="str">
        <f>IF($R112&lt;&gt;"OK","",$AB112-$AJ112)</f>
        <v/>
      </c>
      <c r="AL112" s="78" t="str">
        <f>IF($R112&lt;&gt;"OK","",IF($AB112=0,"",IF($AB112-$AR112=0,"Nothing left over",IF($O112="Domestic",IF($AG112&lt;=Setup!$C$6+Setup!$C$20+1,"Later units can go by Domestic","Too slow: send it all fast"),IF($AS112+$N112+Setup!$C$25+Setup!$C$11&lt;=Setup!$C$6+Setup!$C$20+1,"Later units can go by Ocean long",IF($AS112+$N112+Setup!$C$26+Setup!$C$11&lt;=Setup!$C$6+Setup!$C$20+1,"Later units can go by Ocean short",IF($AS112+$N112+Setup!$C$27+Setup!$C$11&lt;=Setup!$C$6+Setup!$C$20+1,"Later units can go by Air",IF($AS112+$N112+Setup!$C$28+Setup!$C$11&lt;=Setup!$C$6+Setup!$C$20+1,"Later units can go by Express","Too slow: send it all fast"))))))))</f>
        <v/>
      </c>
      <c r="AM112" s="94" t="str">
        <f>IF($R112&lt;&gt;"OK","",$E112-$D112)</f>
        <v/>
      </c>
      <c r="AN112" s="95" t="str">
        <f>IF($R112&lt;&gt;"OK","",($E112-$D112)/$D112)</f>
        <v/>
      </c>
      <c r="AO112" s="95" t="str">
        <f>IF($R112&lt;&gt;"OK","",IF($AB112&gt;0,$AN112+IF($C112="Evergreen",1000,0),""))</f>
        <v/>
      </c>
      <c r="AP112" s="78" t="str">
        <f>IF(OR($R112&lt;&gt;"OK",$AO112=""),"",COUNTIF($AO$6:$AO$205,"&gt;"&amp;$AO112)+COUNTIF($AO$6:$AO112,$AO112))</f>
        <v/>
      </c>
      <c r="AQ112" s="78" t="str">
        <f>IF(OR($R112&lt;&gt;"OK",$AP112=""),"",INDEX('Buy list'!$G$5:$G$204,$AP112))</f>
        <v/>
      </c>
      <c r="AR112" s="78" t="str">
        <f>IF($R112&lt;&gt;"OK","",IF($AB112=0,0,MIN($AB112,CEILING(MAX(0,($F112*MAX(0,MIN((Setup!$C$6+1+Setup!$C$20),(Setup!$C$5-Setup!$C$7))-Setup!$C$4)+$F112*Setup!$C$8*MAX(0,MIN((Setup!$C$6+1+Setup!$C$20),Setup!$C$5)-MAX((Setup!$C$5-Setup!$C$7),Setup!$C$4))+$W112/4*MAX(0,MIN((Setup!$C$6+1+Setup!$C$20),Setup!$C$5+4)-MAX(Setup!$C$5,Setup!$C$4))+$F112*Setup!$C$14*MAX(0,(Setup!$C$6+1+Setup!$C$20)-MAX(Setup!$C$5+4,Setup!$C$4)))+$Y112-$K112-IF(AND($L112&lt;&gt;"",$L112&gt;0),IF($M112&lt;=Setup!$C$10,$L112,0),0)),IF(OR($P112="",$P112&lt;=0),1,$P112)))))</f>
        <v/>
      </c>
      <c r="AS112" s="96" t="str">
        <f>IF($R112&lt;&gt;"OK","",IF(AND($O112&lt;&gt;"Domestic",ISNUMBER(Setup!$C$22),Setup!$C$22&gt;Setup!$C$4),Setup!$C$22,Setup!$C$4))</f>
        <v/>
      </c>
      <c r="AT112" s="96" t="str">
        <f>IF($R112&lt;&gt;"OK","",IF($AB112=0,"",IF($O112="Domestic",$AG112,$AS112+$N112+Setup!$C$27+Setup!$C$11)))</f>
        <v/>
      </c>
    </row>
    <row r="113" ht="15" customHeight="1" s="46">
      <c r="A113" s="70" t="n"/>
      <c r="B113" s="70" t="n"/>
      <c r="C113" s="70" t="n"/>
      <c r="D113" s="85" t="n"/>
      <c r="E113" s="85" t="n"/>
      <c r="F113" s="86" t="n"/>
      <c r="G113" s="87" t="n"/>
      <c r="H113" s="88" t="n"/>
      <c r="I113" s="89" t="n"/>
      <c r="J113" s="90" t="n"/>
      <c r="K113" s="87" t="n"/>
      <c r="L113" s="87" t="n"/>
      <c r="M113" s="91" t="n"/>
      <c r="N113" s="92" t="n"/>
      <c r="O113" s="70" t="n"/>
      <c r="P113" s="92" t="n"/>
      <c r="Q113" s="87" t="n"/>
      <c r="R113" s="79" t="str">
        <f>IF($A113="","",IF($C113="","Missing: type",IF(OR($D113="",$D113&lt;=0),"Missing: unit cost",IF($E113="","Missing: unit price",IF($F113="","Missing: daily sales",IF($K113="","Missing: on hand",IF($N113="","Missing: production days",IF($O113="","Missing: freight mode",IF(ISNA(MATCH($O113,Setup!$B$25:$B$29,0)),"Unknown freight mode",IF(AND($L113&lt;&gt;"",$L113&gt;0,$M113=""),"Missing: on-order arrival date","OK"))))))))))</f>
        <v/>
      </c>
      <c r="S113" s="78" t="str">
        <f>IF($R113&lt;&gt;"OK","",IF($G113="","",ROUND($G113/IF(OR($H113="",$H113&lt;=0),4,$H113)*4,0)))</f>
        <v/>
      </c>
      <c r="T113" s="78" t="str">
        <f>IF($R113&lt;&gt;"OK","",ROUND(IF($G113="",$F113*4*Setup!$C$19,$G113/IF(OR($H113="",$H113&lt;=0),4,$H113)*4*(1+IF($I113="",Setup!$C$16,$I113)))*IF($J113="",1,$J113),0))</f>
        <v/>
      </c>
      <c r="U113" s="78" t="str">
        <f>IF($R113&lt;&gt;"OK","",ROUND($T113*Setup!$C$17,0))</f>
        <v/>
      </c>
      <c r="V113" s="78" t="str">
        <f>IF($R113&lt;&gt;"OK","",ROUND($T113*Setup!$C$18,0))</f>
        <v/>
      </c>
      <c r="W113" s="78" t="str">
        <f>IF($R113&lt;&gt;"OK","",IF($C113="Evergreen",$V113,IF($C113="Seasonal or new",$U113,$T113)))</f>
        <v/>
      </c>
      <c r="X113" s="78" t="str">
        <f>IF($R113&lt;&gt;"OK","",ROUND(($F113*MAX(0,MIN(Setup!$C$13+1,(Setup!$C$5-Setup!$C$7))-Setup!$C$4)+$F113*Setup!$C$8*MAX(0,MIN(Setup!$C$13+1,Setup!$C$5)-MAX((Setup!$C$5-Setup!$C$7),Setup!$C$4))+$W113/4*MAX(0,MIN(Setup!$C$13+1,Setup!$C$5+4)-MAX(Setup!$C$5,Setup!$C$4))+$F113*Setup!$C$14*MAX(0,Setup!$C$13+1-MAX(Setup!$C$5+4,Setup!$C$4))),0))</f>
        <v/>
      </c>
      <c r="Y113" s="78" t="str">
        <f>IF($R113&lt;&gt;"OK","",ROUND($F113*Setup!$C$15,0))</f>
        <v/>
      </c>
      <c r="Z113" s="78" t="str">
        <f>IF($R113&lt;&gt;"OK","",IF(AND($L113&lt;&gt;"",$L113&gt;0),IF($M113&lt;=Setup!$C$13,$L113,0),0))</f>
        <v/>
      </c>
      <c r="AA113" s="78" t="str">
        <f>IF($R113&lt;&gt;"OK","",MAX(0,$X113+$Y113-$K113-$Z113))</f>
        <v/>
      </c>
      <c r="AB113" s="78" t="str">
        <f>IF($R113&lt;&gt;"OK","",IF($AA113=0,0,CEILING(MAX($AA113,IF($Q113="",0,$Q113)),IF(OR($P113="",$P113&lt;=0),1,$P113))))</f>
        <v/>
      </c>
      <c r="AC113" s="78" t="str">
        <f>IF($R113&lt;&gt;"OK","",$AB113*$D113)</f>
        <v/>
      </c>
      <c r="AD113" s="93" t="str">
        <f>IF($R113&lt;&gt;"OK","",INDEX(Setup!$D$25:$D$29,MATCH($O113,Setup!$B$25:$B$29,0)))</f>
        <v/>
      </c>
      <c r="AE113" s="93" t="str">
        <f>IF($R113&lt;&gt;"OK","",$AD113-$N113)</f>
        <v/>
      </c>
      <c r="AF113" s="79" t="str">
        <f>IF($R113&lt;&gt;"OK","",IF($AB113=0,"No order needed",IF($AE113&gt;=$AS113,"Order by the deadline",IF(AND($O113&lt;&gt;"Domestic",Setup!$D$27-$N113&gt;=$AS113),"Late by this mode: fly it",IF(Setup!$D$28-$N113&gt;=$AS113,"Late: Express courier only",IF($AG113&lt;Setup!$C$5,"Tight: lands before Black Friday",IF(AND($O113&lt;&gt;"Domestic",$AT113&lt;Setup!$C$5),"Tight: by Air lands before Black Friday",IF($AS113+$N113+Setup!$C$28+Setup!$C$11&lt;Setup!$C$5,"Tight: by Express lands before Black Friday","Too late: ration"))))))))</f>
        <v/>
      </c>
      <c r="AG113" s="93" t="str">
        <f>IF($R113&lt;&gt;"OK","",IF($AB113=0,"",$AS113+$N113+INDEX(Setup!$C$25:$C$29,MATCH($O113,Setup!$B$25:$B$29,0))+Setup!$C$11))</f>
        <v/>
      </c>
      <c r="AH113" s="93" t="str">
        <f>IF($R113&lt;&gt;"OK","",IF($F113&lt;=0,"",INT(IF($K113&lt;($F113*MAX(0,(Setup!$C$5-Setup!$C$7)-Setup!$C$4)),Setup!$C$4+$K113/$F113,IF($K113&lt;($F113*MAX(0,(Setup!$C$5-Setup!$C$7)-Setup!$C$4))+($F113*Setup!$C$8*MAX(0,Setup!$C$5-MAX((Setup!$C$5-Setup!$C$7),Setup!$C$4))),MAX((Setup!$C$5-Setup!$C$7),Setup!$C$4)+($K113-($F113*MAX(0,(Setup!$C$5-Setup!$C$7)-Setup!$C$4)))/($F113*Setup!$C$8),IF(AND($W113&gt;0,$K113&lt;($F113*MAX(0,(Setup!$C$5-Setup!$C$7)-Setup!$C$4))+($F113*Setup!$C$8*MAX(0,Setup!$C$5-MAX((Setup!$C$5-Setup!$C$7),Setup!$C$4)))+($W113/4*MAX(0,Setup!$C$5+4-MAX(Setup!$C$5,Setup!$C$4)))),MAX(Setup!$C$5,Setup!$C$4)+($K113-($F113*MAX(0,(Setup!$C$5-Setup!$C$7)-Setup!$C$4))-($F113*Setup!$C$8*MAX(0,Setup!$C$5-MAX((Setup!$C$5-Setup!$C$7),Setup!$C$4))))/($W113/4),MAX(Setup!$C$5+4,Setup!$C$4)+($K113-($F113*MAX(0,(Setup!$C$5-Setup!$C$7)-Setup!$C$4))-($F113*Setup!$C$8*MAX(0,Setup!$C$5-MAX((Setup!$C$5-Setup!$C$7),Setup!$C$4)))-($W113/4*MAX(0,Setup!$C$5+4-MAX(Setup!$C$5,Setup!$C$4))))/($F113*Setup!$C$14)))))))</f>
        <v/>
      </c>
      <c r="AI113" s="79" t="str">
        <f>IF($R113&lt;&gt;"OK","",IF(AND($L113&lt;&gt;"",$L113&gt;0,ISNUMBER($AH113),$M113&gt;$AH113),"Runs out before the incoming delivery arrives",IF($AB113=0,"OK",IF($K113+IF(AND($L113&lt;&gt;"",$L113&gt;0),IF($M113&lt;=$AG113,$L113,0),0)&lt;($F113*MAX(0,MIN($AG113,(Setup!$C$5-Setup!$C$7))-Setup!$C$4)+$F113*Setup!$C$8*MAX(0,MIN($AG113,Setup!$C$5)-MAX((Setup!$C$5-Setup!$C$7),Setup!$C$4))+$W113/4*MAX(0,MIN($AG113,Setup!$C$5+4)-MAX(Setup!$C$5,Setup!$C$4))+$F113*Setup!$C$14*MAX(0,$AG113-MAX(Setup!$C$5+4,Setup!$C$4))),"Runs out before this order can land","OK"))))</f>
        <v/>
      </c>
      <c r="AJ113" s="78" t="str">
        <f>IF($R113&lt;&gt;"OK","",IF($AB113=0,0,IF($AL113="Too slow: send it all fast",$AB113,$AR113)))</f>
        <v/>
      </c>
      <c r="AK113" s="78" t="str">
        <f>IF($R113&lt;&gt;"OK","",$AB113-$AJ113)</f>
        <v/>
      </c>
      <c r="AL113" s="78" t="str">
        <f>IF($R113&lt;&gt;"OK","",IF($AB113=0,"",IF($AB113-$AR113=0,"Nothing left over",IF($O113="Domestic",IF($AG113&lt;=Setup!$C$6+Setup!$C$20+1,"Later units can go by Domestic","Too slow: send it all fast"),IF($AS113+$N113+Setup!$C$25+Setup!$C$11&lt;=Setup!$C$6+Setup!$C$20+1,"Later units can go by Ocean long",IF($AS113+$N113+Setup!$C$26+Setup!$C$11&lt;=Setup!$C$6+Setup!$C$20+1,"Later units can go by Ocean short",IF($AS113+$N113+Setup!$C$27+Setup!$C$11&lt;=Setup!$C$6+Setup!$C$20+1,"Later units can go by Air",IF($AS113+$N113+Setup!$C$28+Setup!$C$11&lt;=Setup!$C$6+Setup!$C$20+1,"Later units can go by Express","Too slow: send it all fast"))))))))</f>
        <v/>
      </c>
      <c r="AM113" s="94" t="str">
        <f>IF($R113&lt;&gt;"OK","",$E113-$D113)</f>
        <v/>
      </c>
      <c r="AN113" s="95" t="str">
        <f>IF($R113&lt;&gt;"OK","",($E113-$D113)/$D113)</f>
        <v/>
      </c>
      <c r="AO113" s="95" t="str">
        <f>IF($R113&lt;&gt;"OK","",IF($AB113&gt;0,$AN113+IF($C113="Evergreen",1000,0),""))</f>
        <v/>
      </c>
      <c r="AP113" s="78" t="str">
        <f>IF(OR($R113&lt;&gt;"OK",$AO113=""),"",COUNTIF($AO$6:$AO$205,"&gt;"&amp;$AO113)+COUNTIF($AO$6:$AO113,$AO113))</f>
        <v/>
      </c>
      <c r="AQ113" s="78" t="str">
        <f>IF(OR($R113&lt;&gt;"OK",$AP113=""),"",INDEX('Buy list'!$G$5:$G$204,$AP113))</f>
        <v/>
      </c>
      <c r="AR113" s="78" t="str">
        <f>IF($R113&lt;&gt;"OK","",IF($AB113=0,0,MIN($AB113,CEILING(MAX(0,($F113*MAX(0,MIN((Setup!$C$6+1+Setup!$C$20),(Setup!$C$5-Setup!$C$7))-Setup!$C$4)+$F113*Setup!$C$8*MAX(0,MIN((Setup!$C$6+1+Setup!$C$20),Setup!$C$5)-MAX((Setup!$C$5-Setup!$C$7),Setup!$C$4))+$W113/4*MAX(0,MIN((Setup!$C$6+1+Setup!$C$20),Setup!$C$5+4)-MAX(Setup!$C$5,Setup!$C$4))+$F113*Setup!$C$14*MAX(0,(Setup!$C$6+1+Setup!$C$20)-MAX(Setup!$C$5+4,Setup!$C$4)))+$Y113-$K113-IF(AND($L113&lt;&gt;"",$L113&gt;0),IF($M113&lt;=Setup!$C$10,$L113,0),0)),IF(OR($P113="",$P113&lt;=0),1,$P113)))))</f>
        <v/>
      </c>
      <c r="AS113" s="96" t="str">
        <f>IF($R113&lt;&gt;"OK","",IF(AND($O113&lt;&gt;"Domestic",ISNUMBER(Setup!$C$22),Setup!$C$22&gt;Setup!$C$4),Setup!$C$22,Setup!$C$4))</f>
        <v/>
      </c>
      <c r="AT113" s="96" t="str">
        <f>IF($R113&lt;&gt;"OK","",IF($AB113=0,"",IF($O113="Domestic",$AG113,$AS113+$N113+Setup!$C$27+Setup!$C$11)))</f>
        <v/>
      </c>
    </row>
    <row r="114" ht="15" customHeight="1" s="46">
      <c r="A114" s="70" t="n"/>
      <c r="B114" s="70" t="n"/>
      <c r="C114" s="70" t="n"/>
      <c r="D114" s="85" t="n"/>
      <c r="E114" s="85" t="n"/>
      <c r="F114" s="86" t="n"/>
      <c r="G114" s="87" t="n"/>
      <c r="H114" s="88" t="n"/>
      <c r="I114" s="89" t="n"/>
      <c r="J114" s="90" t="n"/>
      <c r="K114" s="87" t="n"/>
      <c r="L114" s="87" t="n"/>
      <c r="M114" s="91" t="n"/>
      <c r="N114" s="92" t="n"/>
      <c r="O114" s="70" t="n"/>
      <c r="P114" s="92" t="n"/>
      <c r="Q114" s="87" t="n"/>
      <c r="R114" s="79" t="str">
        <f>IF($A114="","",IF($C114="","Missing: type",IF(OR($D114="",$D114&lt;=0),"Missing: unit cost",IF($E114="","Missing: unit price",IF($F114="","Missing: daily sales",IF($K114="","Missing: on hand",IF($N114="","Missing: production days",IF($O114="","Missing: freight mode",IF(ISNA(MATCH($O114,Setup!$B$25:$B$29,0)),"Unknown freight mode",IF(AND($L114&lt;&gt;"",$L114&gt;0,$M114=""),"Missing: on-order arrival date","OK"))))))))))</f>
        <v/>
      </c>
      <c r="S114" s="78" t="str">
        <f>IF($R114&lt;&gt;"OK","",IF($G114="","",ROUND($G114/IF(OR($H114="",$H114&lt;=0),4,$H114)*4,0)))</f>
        <v/>
      </c>
      <c r="T114" s="78" t="str">
        <f>IF($R114&lt;&gt;"OK","",ROUND(IF($G114="",$F114*4*Setup!$C$19,$G114/IF(OR($H114="",$H114&lt;=0),4,$H114)*4*(1+IF($I114="",Setup!$C$16,$I114)))*IF($J114="",1,$J114),0))</f>
        <v/>
      </c>
      <c r="U114" s="78" t="str">
        <f>IF($R114&lt;&gt;"OK","",ROUND($T114*Setup!$C$17,0))</f>
        <v/>
      </c>
      <c r="V114" s="78" t="str">
        <f>IF($R114&lt;&gt;"OK","",ROUND($T114*Setup!$C$18,0))</f>
        <v/>
      </c>
      <c r="W114" s="78" t="str">
        <f>IF($R114&lt;&gt;"OK","",IF($C114="Evergreen",$V114,IF($C114="Seasonal or new",$U114,$T114)))</f>
        <v/>
      </c>
      <c r="X114" s="78" t="str">
        <f>IF($R114&lt;&gt;"OK","",ROUND(($F114*MAX(0,MIN(Setup!$C$13+1,(Setup!$C$5-Setup!$C$7))-Setup!$C$4)+$F114*Setup!$C$8*MAX(0,MIN(Setup!$C$13+1,Setup!$C$5)-MAX((Setup!$C$5-Setup!$C$7),Setup!$C$4))+$W114/4*MAX(0,MIN(Setup!$C$13+1,Setup!$C$5+4)-MAX(Setup!$C$5,Setup!$C$4))+$F114*Setup!$C$14*MAX(0,Setup!$C$13+1-MAX(Setup!$C$5+4,Setup!$C$4))),0))</f>
        <v/>
      </c>
      <c r="Y114" s="78" t="str">
        <f>IF($R114&lt;&gt;"OK","",ROUND($F114*Setup!$C$15,0))</f>
        <v/>
      </c>
      <c r="Z114" s="78" t="str">
        <f>IF($R114&lt;&gt;"OK","",IF(AND($L114&lt;&gt;"",$L114&gt;0),IF($M114&lt;=Setup!$C$13,$L114,0),0))</f>
        <v/>
      </c>
      <c r="AA114" s="78" t="str">
        <f>IF($R114&lt;&gt;"OK","",MAX(0,$X114+$Y114-$K114-$Z114))</f>
        <v/>
      </c>
      <c r="AB114" s="78" t="str">
        <f>IF($R114&lt;&gt;"OK","",IF($AA114=0,0,CEILING(MAX($AA114,IF($Q114="",0,$Q114)),IF(OR($P114="",$P114&lt;=0),1,$P114))))</f>
        <v/>
      </c>
      <c r="AC114" s="78" t="str">
        <f>IF($R114&lt;&gt;"OK","",$AB114*$D114)</f>
        <v/>
      </c>
      <c r="AD114" s="93" t="str">
        <f>IF($R114&lt;&gt;"OK","",INDEX(Setup!$D$25:$D$29,MATCH($O114,Setup!$B$25:$B$29,0)))</f>
        <v/>
      </c>
      <c r="AE114" s="93" t="str">
        <f>IF($R114&lt;&gt;"OK","",$AD114-$N114)</f>
        <v/>
      </c>
      <c r="AF114" s="79" t="str">
        <f>IF($R114&lt;&gt;"OK","",IF($AB114=0,"No order needed",IF($AE114&gt;=$AS114,"Order by the deadline",IF(AND($O114&lt;&gt;"Domestic",Setup!$D$27-$N114&gt;=$AS114),"Late by this mode: fly it",IF(Setup!$D$28-$N114&gt;=$AS114,"Late: Express courier only",IF($AG114&lt;Setup!$C$5,"Tight: lands before Black Friday",IF(AND($O114&lt;&gt;"Domestic",$AT114&lt;Setup!$C$5),"Tight: by Air lands before Black Friday",IF($AS114+$N114+Setup!$C$28+Setup!$C$11&lt;Setup!$C$5,"Tight: by Express lands before Black Friday","Too late: ration"))))))))</f>
        <v/>
      </c>
      <c r="AG114" s="93" t="str">
        <f>IF($R114&lt;&gt;"OK","",IF($AB114=0,"",$AS114+$N114+INDEX(Setup!$C$25:$C$29,MATCH($O114,Setup!$B$25:$B$29,0))+Setup!$C$11))</f>
        <v/>
      </c>
      <c r="AH114" s="93" t="str">
        <f>IF($R114&lt;&gt;"OK","",IF($F114&lt;=0,"",INT(IF($K114&lt;($F114*MAX(0,(Setup!$C$5-Setup!$C$7)-Setup!$C$4)),Setup!$C$4+$K114/$F114,IF($K114&lt;($F114*MAX(0,(Setup!$C$5-Setup!$C$7)-Setup!$C$4))+($F114*Setup!$C$8*MAX(0,Setup!$C$5-MAX((Setup!$C$5-Setup!$C$7),Setup!$C$4))),MAX((Setup!$C$5-Setup!$C$7),Setup!$C$4)+($K114-($F114*MAX(0,(Setup!$C$5-Setup!$C$7)-Setup!$C$4)))/($F114*Setup!$C$8),IF(AND($W114&gt;0,$K114&lt;($F114*MAX(0,(Setup!$C$5-Setup!$C$7)-Setup!$C$4))+($F114*Setup!$C$8*MAX(0,Setup!$C$5-MAX((Setup!$C$5-Setup!$C$7),Setup!$C$4)))+($W114/4*MAX(0,Setup!$C$5+4-MAX(Setup!$C$5,Setup!$C$4)))),MAX(Setup!$C$5,Setup!$C$4)+($K114-($F114*MAX(0,(Setup!$C$5-Setup!$C$7)-Setup!$C$4))-($F114*Setup!$C$8*MAX(0,Setup!$C$5-MAX((Setup!$C$5-Setup!$C$7),Setup!$C$4))))/($W114/4),MAX(Setup!$C$5+4,Setup!$C$4)+($K114-($F114*MAX(0,(Setup!$C$5-Setup!$C$7)-Setup!$C$4))-($F114*Setup!$C$8*MAX(0,Setup!$C$5-MAX((Setup!$C$5-Setup!$C$7),Setup!$C$4)))-($W114/4*MAX(0,Setup!$C$5+4-MAX(Setup!$C$5,Setup!$C$4))))/($F114*Setup!$C$14)))))))</f>
        <v/>
      </c>
      <c r="AI114" s="79" t="str">
        <f>IF($R114&lt;&gt;"OK","",IF(AND($L114&lt;&gt;"",$L114&gt;0,ISNUMBER($AH114),$M114&gt;$AH114),"Runs out before the incoming delivery arrives",IF($AB114=0,"OK",IF($K114+IF(AND($L114&lt;&gt;"",$L114&gt;0),IF($M114&lt;=$AG114,$L114,0),0)&lt;($F114*MAX(0,MIN($AG114,(Setup!$C$5-Setup!$C$7))-Setup!$C$4)+$F114*Setup!$C$8*MAX(0,MIN($AG114,Setup!$C$5)-MAX((Setup!$C$5-Setup!$C$7),Setup!$C$4))+$W114/4*MAX(0,MIN($AG114,Setup!$C$5+4)-MAX(Setup!$C$5,Setup!$C$4))+$F114*Setup!$C$14*MAX(0,$AG114-MAX(Setup!$C$5+4,Setup!$C$4))),"Runs out before this order can land","OK"))))</f>
        <v/>
      </c>
      <c r="AJ114" s="78" t="str">
        <f>IF($R114&lt;&gt;"OK","",IF($AB114=0,0,IF($AL114="Too slow: send it all fast",$AB114,$AR114)))</f>
        <v/>
      </c>
      <c r="AK114" s="78" t="str">
        <f>IF($R114&lt;&gt;"OK","",$AB114-$AJ114)</f>
        <v/>
      </c>
      <c r="AL114" s="78" t="str">
        <f>IF($R114&lt;&gt;"OK","",IF($AB114=0,"",IF($AB114-$AR114=0,"Nothing left over",IF($O114="Domestic",IF($AG114&lt;=Setup!$C$6+Setup!$C$20+1,"Later units can go by Domestic","Too slow: send it all fast"),IF($AS114+$N114+Setup!$C$25+Setup!$C$11&lt;=Setup!$C$6+Setup!$C$20+1,"Later units can go by Ocean long",IF($AS114+$N114+Setup!$C$26+Setup!$C$11&lt;=Setup!$C$6+Setup!$C$20+1,"Later units can go by Ocean short",IF($AS114+$N114+Setup!$C$27+Setup!$C$11&lt;=Setup!$C$6+Setup!$C$20+1,"Later units can go by Air",IF($AS114+$N114+Setup!$C$28+Setup!$C$11&lt;=Setup!$C$6+Setup!$C$20+1,"Later units can go by Express","Too slow: send it all fast"))))))))</f>
        <v/>
      </c>
      <c r="AM114" s="94" t="str">
        <f>IF($R114&lt;&gt;"OK","",$E114-$D114)</f>
        <v/>
      </c>
      <c r="AN114" s="95" t="str">
        <f>IF($R114&lt;&gt;"OK","",($E114-$D114)/$D114)</f>
        <v/>
      </c>
      <c r="AO114" s="95" t="str">
        <f>IF($R114&lt;&gt;"OK","",IF($AB114&gt;0,$AN114+IF($C114="Evergreen",1000,0),""))</f>
        <v/>
      </c>
      <c r="AP114" s="78" t="str">
        <f>IF(OR($R114&lt;&gt;"OK",$AO114=""),"",COUNTIF($AO$6:$AO$205,"&gt;"&amp;$AO114)+COUNTIF($AO$6:$AO114,$AO114))</f>
        <v/>
      </c>
      <c r="AQ114" s="78" t="str">
        <f>IF(OR($R114&lt;&gt;"OK",$AP114=""),"",INDEX('Buy list'!$G$5:$G$204,$AP114))</f>
        <v/>
      </c>
      <c r="AR114" s="78" t="str">
        <f>IF($R114&lt;&gt;"OK","",IF($AB114=0,0,MIN($AB114,CEILING(MAX(0,($F114*MAX(0,MIN((Setup!$C$6+1+Setup!$C$20),(Setup!$C$5-Setup!$C$7))-Setup!$C$4)+$F114*Setup!$C$8*MAX(0,MIN((Setup!$C$6+1+Setup!$C$20),Setup!$C$5)-MAX((Setup!$C$5-Setup!$C$7),Setup!$C$4))+$W114/4*MAX(0,MIN((Setup!$C$6+1+Setup!$C$20),Setup!$C$5+4)-MAX(Setup!$C$5,Setup!$C$4))+$F114*Setup!$C$14*MAX(0,(Setup!$C$6+1+Setup!$C$20)-MAX(Setup!$C$5+4,Setup!$C$4)))+$Y114-$K114-IF(AND($L114&lt;&gt;"",$L114&gt;0),IF($M114&lt;=Setup!$C$10,$L114,0),0)),IF(OR($P114="",$P114&lt;=0),1,$P114)))))</f>
        <v/>
      </c>
      <c r="AS114" s="96" t="str">
        <f>IF($R114&lt;&gt;"OK","",IF(AND($O114&lt;&gt;"Domestic",ISNUMBER(Setup!$C$22),Setup!$C$22&gt;Setup!$C$4),Setup!$C$22,Setup!$C$4))</f>
        <v/>
      </c>
      <c r="AT114" s="96" t="str">
        <f>IF($R114&lt;&gt;"OK","",IF($AB114=0,"",IF($O114="Domestic",$AG114,$AS114+$N114+Setup!$C$27+Setup!$C$11)))</f>
        <v/>
      </c>
    </row>
    <row r="115" ht="15" customHeight="1" s="46">
      <c r="A115" s="70" t="n"/>
      <c r="B115" s="70" t="n"/>
      <c r="C115" s="70" t="n"/>
      <c r="D115" s="85" t="n"/>
      <c r="E115" s="85" t="n"/>
      <c r="F115" s="86" t="n"/>
      <c r="G115" s="87" t="n"/>
      <c r="H115" s="88" t="n"/>
      <c r="I115" s="89" t="n"/>
      <c r="J115" s="90" t="n"/>
      <c r="K115" s="87" t="n"/>
      <c r="L115" s="87" t="n"/>
      <c r="M115" s="91" t="n"/>
      <c r="N115" s="92" t="n"/>
      <c r="O115" s="70" t="n"/>
      <c r="P115" s="92" t="n"/>
      <c r="Q115" s="87" t="n"/>
      <c r="R115" s="79" t="str">
        <f>IF($A115="","",IF($C115="","Missing: type",IF(OR($D115="",$D115&lt;=0),"Missing: unit cost",IF($E115="","Missing: unit price",IF($F115="","Missing: daily sales",IF($K115="","Missing: on hand",IF($N115="","Missing: production days",IF($O115="","Missing: freight mode",IF(ISNA(MATCH($O115,Setup!$B$25:$B$29,0)),"Unknown freight mode",IF(AND($L115&lt;&gt;"",$L115&gt;0,$M115=""),"Missing: on-order arrival date","OK"))))))))))</f>
        <v/>
      </c>
      <c r="S115" s="78" t="str">
        <f>IF($R115&lt;&gt;"OK","",IF($G115="","",ROUND($G115/IF(OR($H115="",$H115&lt;=0),4,$H115)*4,0)))</f>
        <v/>
      </c>
      <c r="T115" s="78" t="str">
        <f>IF($R115&lt;&gt;"OK","",ROUND(IF($G115="",$F115*4*Setup!$C$19,$G115/IF(OR($H115="",$H115&lt;=0),4,$H115)*4*(1+IF($I115="",Setup!$C$16,$I115)))*IF($J115="",1,$J115),0))</f>
        <v/>
      </c>
      <c r="U115" s="78" t="str">
        <f>IF($R115&lt;&gt;"OK","",ROUND($T115*Setup!$C$17,0))</f>
        <v/>
      </c>
      <c r="V115" s="78" t="str">
        <f>IF($R115&lt;&gt;"OK","",ROUND($T115*Setup!$C$18,0))</f>
        <v/>
      </c>
      <c r="W115" s="78" t="str">
        <f>IF($R115&lt;&gt;"OK","",IF($C115="Evergreen",$V115,IF($C115="Seasonal or new",$U115,$T115)))</f>
        <v/>
      </c>
      <c r="X115" s="78" t="str">
        <f>IF($R115&lt;&gt;"OK","",ROUND(($F115*MAX(0,MIN(Setup!$C$13+1,(Setup!$C$5-Setup!$C$7))-Setup!$C$4)+$F115*Setup!$C$8*MAX(0,MIN(Setup!$C$13+1,Setup!$C$5)-MAX((Setup!$C$5-Setup!$C$7),Setup!$C$4))+$W115/4*MAX(0,MIN(Setup!$C$13+1,Setup!$C$5+4)-MAX(Setup!$C$5,Setup!$C$4))+$F115*Setup!$C$14*MAX(0,Setup!$C$13+1-MAX(Setup!$C$5+4,Setup!$C$4))),0))</f>
        <v/>
      </c>
      <c r="Y115" s="78" t="str">
        <f>IF($R115&lt;&gt;"OK","",ROUND($F115*Setup!$C$15,0))</f>
        <v/>
      </c>
      <c r="Z115" s="78" t="str">
        <f>IF($R115&lt;&gt;"OK","",IF(AND($L115&lt;&gt;"",$L115&gt;0),IF($M115&lt;=Setup!$C$13,$L115,0),0))</f>
        <v/>
      </c>
      <c r="AA115" s="78" t="str">
        <f>IF($R115&lt;&gt;"OK","",MAX(0,$X115+$Y115-$K115-$Z115))</f>
        <v/>
      </c>
      <c r="AB115" s="78" t="str">
        <f>IF($R115&lt;&gt;"OK","",IF($AA115=0,0,CEILING(MAX($AA115,IF($Q115="",0,$Q115)),IF(OR($P115="",$P115&lt;=0),1,$P115))))</f>
        <v/>
      </c>
      <c r="AC115" s="78" t="str">
        <f>IF($R115&lt;&gt;"OK","",$AB115*$D115)</f>
        <v/>
      </c>
      <c r="AD115" s="93" t="str">
        <f>IF($R115&lt;&gt;"OK","",INDEX(Setup!$D$25:$D$29,MATCH($O115,Setup!$B$25:$B$29,0)))</f>
        <v/>
      </c>
      <c r="AE115" s="93" t="str">
        <f>IF($R115&lt;&gt;"OK","",$AD115-$N115)</f>
        <v/>
      </c>
      <c r="AF115" s="79" t="str">
        <f>IF($R115&lt;&gt;"OK","",IF($AB115=0,"No order needed",IF($AE115&gt;=$AS115,"Order by the deadline",IF(AND($O115&lt;&gt;"Domestic",Setup!$D$27-$N115&gt;=$AS115),"Late by this mode: fly it",IF(Setup!$D$28-$N115&gt;=$AS115,"Late: Express courier only",IF($AG115&lt;Setup!$C$5,"Tight: lands before Black Friday",IF(AND($O115&lt;&gt;"Domestic",$AT115&lt;Setup!$C$5),"Tight: by Air lands before Black Friday",IF($AS115+$N115+Setup!$C$28+Setup!$C$11&lt;Setup!$C$5,"Tight: by Express lands before Black Friday","Too late: ration"))))))))</f>
        <v/>
      </c>
      <c r="AG115" s="93" t="str">
        <f>IF($R115&lt;&gt;"OK","",IF($AB115=0,"",$AS115+$N115+INDEX(Setup!$C$25:$C$29,MATCH($O115,Setup!$B$25:$B$29,0))+Setup!$C$11))</f>
        <v/>
      </c>
      <c r="AH115" s="93" t="str">
        <f>IF($R115&lt;&gt;"OK","",IF($F115&lt;=0,"",INT(IF($K115&lt;($F115*MAX(0,(Setup!$C$5-Setup!$C$7)-Setup!$C$4)),Setup!$C$4+$K115/$F115,IF($K115&lt;($F115*MAX(0,(Setup!$C$5-Setup!$C$7)-Setup!$C$4))+($F115*Setup!$C$8*MAX(0,Setup!$C$5-MAX((Setup!$C$5-Setup!$C$7),Setup!$C$4))),MAX((Setup!$C$5-Setup!$C$7),Setup!$C$4)+($K115-($F115*MAX(0,(Setup!$C$5-Setup!$C$7)-Setup!$C$4)))/($F115*Setup!$C$8),IF(AND($W115&gt;0,$K115&lt;($F115*MAX(0,(Setup!$C$5-Setup!$C$7)-Setup!$C$4))+($F115*Setup!$C$8*MAX(0,Setup!$C$5-MAX((Setup!$C$5-Setup!$C$7),Setup!$C$4)))+($W115/4*MAX(0,Setup!$C$5+4-MAX(Setup!$C$5,Setup!$C$4)))),MAX(Setup!$C$5,Setup!$C$4)+($K115-($F115*MAX(0,(Setup!$C$5-Setup!$C$7)-Setup!$C$4))-($F115*Setup!$C$8*MAX(0,Setup!$C$5-MAX((Setup!$C$5-Setup!$C$7),Setup!$C$4))))/($W115/4),MAX(Setup!$C$5+4,Setup!$C$4)+($K115-($F115*MAX(0,(Setup!$C$5-Setup!$C$7)-Setup!$C$4))-($F115*Setup!$C$8*MAX(0,Setup!$C$5-MAX((Setup!$C$5-Setup!$C$7),Setup!$C$4)))-($W115/4*MAX(0,Setup!$C$5+4-MAX(Setup!$C$5,Setup!$C$4))))/($F115*Setup!$C$14)))))))</f>
        <v/>
      </c>
      <c r="AI115" s="79" t="str">
        <f>IF($R115&lt;&gt;"OK","",IF(AND($L115&lt;&gt;"",$L115&gt;0,ISNUMBER($AH115),$M115&gt;$AH115),"Runs out before the incoming delivery arrives",IF($AB115=0,"OK",IF($K115+IF(AND($L115&lt;&gt;"",$L115&gt;0),IF($M115&lt;=$AG115,$L115,0),0)&lt;($F115*MAX(0,MIN($AG115,(Setup!$C$5-Setup!$C$7))-Setup!$C$4)+$F115*Setup!$C$8*MAX(0,MIN($AG115,Setup!$C$5)-MAX((Setup!$C$5-Setup!$C$7),Setup!$C$4))+$W115/4*MAX(0,MIN($AG115,Setup!$C$5+4)-MAX(Setup!$C$5,Setup!$C$4))+$F115*Setup!$C$14*MAX(0,$AG115-MAX(Setup!$C$5+4,Setup!$C$4))),"Runs out before this order can land","OK"))))</f>
        <v/>
      </c>
      <c r="AJ115" s="78" t="str">
        <f>IF($R115&lt;&gt;"OK","",IF($AB115=0,0,IF($AL115="Too slow: send it all fast",$AB115,$AR115)))</f>
        <v/>
      </c>
      <c r="AK115" s="78" t="str">
        <f>IF($R115&lt;&gt;"OK","",$AB115-$AJ115)</f>
        <v/>
      </c>
      <c r="AL115" s="78" t="str">
        <f>IF($R115&lt;&gt;"OK","",IF($AB115=0,"",IF($AB115-$AR115=0,"Nothing left over",IF($O115="Domestic",IF($AG115&lt;=Setup!$C$6+Setup!$C$20+1,"Later units can go by Domestic","Too slow: send it all fast"),IF($AS115+$N115+Setup!$C$25+Setup!$C$11&lt;=Setup!$C$6+Setup!$C$20+1,"Later units can go by Ocean long",IF($AS115+$N115+Setup!$C$26+Setup!$C$11&lt;=Setup!$C$6+Setup!$C$20+1,"Later units can go by Ocean short",IF($AS115+$N115+Setup!$C$27+Setup!$C$11&lt;=Setup!$C$6+Setup!$C$20+1,"Later units can go by Air",IF($AS115+$N115+Setup!$C$28+Setup!$C$11&lt;=Setup!$C$6+Setup!$C$20+1,"Later units can go by Express","Too slow: send it all fast"))))))))</f>
        <v/>
      </c>
      <c r="AM115" s="94" t="str">
        <f>IF($R115&lt;&gt;"OK","",$E115-$D115)</f>
        <v/>
      </c>
      <c r="AN115" s="95" t="str">
        <f>IF($R115&lt;&gt;"OK","",($E115-$D115)/$D115)</f>
        <v/>
      </c>
      <c r="AO115" s="95" t="str">
        <f>IF($R115&lt;&gt;"OK","",IF($AB115&gt;0,$AN115+IF($C115="Evergreen",1000,0),""))</f>
        <v/>
      </c>
      <c r="AP115" s="78" t="str">
        <f>IF(OR($R115&lt;&gt;"OK",$AO115=""),"",COUNTIF($AO$6:$AO$205,"&gt;"&amp;$AO115)+COUNTIF($AO$6:$AO115,$AO115))</f>
        <v/>
      </c>
      <c r="AQ115" s="78" t="str">
        <f>IF(OR($R115&lt;&gt;"OK",$AP115=""),"",INDEX('Buy list'!$G$5:$G$204,$AP115))</f>
        <v/>
      </c>
      <c r="AR115" s="78" t="str">
        <f>IF($R115&lt;&gt;"OK","",IF($AB115=0,0,MIN($AB115,CEILING(MAX(0,($F115*MAX(0,MIN((Setup!$C$6+1+Setup!$C$20),(Setup!$C$5-Setup!$C$7))-Setup!$C$4)+$F115*Setup!$C$8*MAX(0,MIN((Setup!$C$6+1+Setup!$C$20),Setup!$C$5)-MAX((Setup!$C$5-Setup!$C$7),Setup!$C$4))+$W115/4*MAX(0,MIN((Setup!$C$6+1+Setup!$C$20),Setup!$C$5+4)-MAX(Setup!$C$5,Setup!$C$4))+$F115*Setup!$C$14*MAX(0,(Setup!$C$6+1+Setup!$C$20)-MAX(Setup!$C$5+4,Setup!$C$4)))+$Y115-$K115-IF(AND($L115&lt;&gt;"",$L115&gt;0),IF($M115&lt;=Setup!$C$10,$L115,0),0)),IF(OR($P115="",$P115&lt;=0),1,$P115)))))</f>
        <v/>
      </c>
      <c r="AS115" s="96" t="str">
        <f>IF($R115&lt;&gt;"OK","",IF(AND($O115&lt;&gt;"Domestic",ISNUMBER(Setup!$C$22),Setup!$C$22&gt;Setup!$C$4),Setup!$C$22,Setup!$C$4))</f>
        <v/>
      </c>
      <c r="AT115" s="96" t="str">
        <f>IF($R115&lt;&gt;"OK","",IF($AB115=0,"",IF($O115="Domestic",$AG115,$AS115+$N115+Setup!$C$27+Setup!$C$11)))</f>
        <v/>
      </c>
    </row>
    <row r="116" ht="15" customHeight="1" s="46">
      <c r="A116" s="70" t="n"/>
      <c r="B116" s="70" t="n"/>
      <c r="C116" s="70" t="n"/>
      <c r="D116" s="85" t="n"/>
      <c r="E116" s="85" t="n"/>
      <c r="F116" s="86" t="n"/>
      <c r="G116" s="87" t="n"/>
      <c r="H116" s="88" t="n"/>
      <c r="I116" s="89" t="n"/>
      <c r="J116" s="90" t="n"/>
      <c r="K116" s="87" t="n"/>
      <c r="L116" s="87" t="n"/>
      <c r="M116" s="91" t="n"/>
      <c r="N116" s="92" t="n"/>
      <c r="O116" s="70" t="n"/>
      <c r="P116" s="92" t="n"/>
      <c r="Q116" s="87" t="n"/>
      <c r="R116" s="79" t="str">
        <f>IF($A116="","",IF($C116="","Missing: type",IF(OR($D116="",$D116&lt;=0),"Missing: unit cost",IF($E116="","Missing: unit price",IF($F116="","Missing: daily sales",IF($K116="","Missing: on hand",IF($N116="","Missing: production days",IF($O116="","Missing: freight mode",IF(ISNA(MATCH($O116,Setup!$B$25:$B$29,0)),"Unknown freight mode",IF(AND($L116&lt;&gt;"",$L116&gt;0,$M116=""),"Missing: on-order arrival date","OK"))))))))))</f>
        <v/>
      </c>
      <c r="S116" s="78" t="str">
        <f>IF($R116&lt;&gt;"OK","",IF($G116="","",ROUND($G116/IF(OR($H116="",$H116&lt;=0),4,$H116)*4,0)))</f>
        <v/>
      </c>
      <c r="T116" s="78" t="str">
        <f>IF($R116&lt;&gt;"OK","",ROUND(IF($G116="",$F116*4*Setup!$C$19,$G116/IF(OR($H116="",$H116&lt;=0),4,$H116)*4*(1+IF($I116="",Setup!$C$16,$I116)))*IF($J116="",1,$J116),0))</f>
        <v/>
      </c>
      <c r="U116" s="78" t="str">
        <f>IF($R116&lt;&gt;"OK","",ROUND($T116*Setup!$C$17,0))</f>
        <v/>
      </c>
      <c r="V116" s="78" t="str">
        <f>IF($R116&lt;&gt;"OK","",ROUND($T116*Setup!$C$18,0))</f>
        <v/>
      </c>
      <c r="W116" s="78" t="str">
        <f>IF($R116&lt;&gt;"OK","",IF($C116="Evergreen",$V116,IF($C116="Seasonal or new",$U116,$T116)))</f>
        <v/>
      </c>
      <c r="X116" s="78" t="str">
        <f>IF($R116&lt;&gt;"OK","",ROUND(($F116*MAX(0,MIN(Setup!$C$13+1,(Setup!$C$5-Setup!$C$7))-Setup!$C$4)+$F116*Setup!$C$8*MAX(0,MIN(Setup!$C$13+1,Setup!$C$5)-MAX((Setup!$C$5-Setup!$C$7),Setup!$C$4))+$W116/4*MAX(0,MIN(Setup!$C$13+1,Setup!$C$5+4)-MAX(Setup!$C$5,Setup!$C$4))+$F116*Setup!$C$14*MAX(0,Setup!$C$13+1-MAX(Setup!$C$5+4,Setup!$C$4))),0))</f>
        <v/>
      </c>
      <c r="Y116" s="78" t="str">
        <f>IF($R116&lt;&gt;"OK","",ROUND($F116*Setup!$C$15,0))</f>
        <v/>
      </c>
      <c r="Z116" s="78" t="str">
        <f>IF($R116&lt;&gt;"OK","",IF(AND($L116&lt;&gt;"",$L116&gt;0),IF($M116&lt;=Setup!$C$13,$L116,0),0))</f>
        <v/>
      </c>
      <c r="AA116" s="78" t="str">
        <f>IF($R116&lt;&gt;"OK","",MAX(0,$X116+$Y116-$K116-$Z116))</f>
        <v/>
      </c>
      <c r="AB116" s="78" t="str">
        <f>IF($R116&lt;&gt;"OK","",IF($AA116=0,0,CEILING(MAX($AA116,IF($Q116="",0,$Q116)),IF(OR($P116="",$P116&lt;=0),1,$P116))))</f>
        <v/>
      </c>
      <c r="AC116" s="78" t="str">
        <f>IF($R116&lt;&gt;"OK","",$AB116*$D116)</f>
        <v/>
      </c>
      <c r="AD116" s="93" t="str">
        <f>IF($R116&lt;&gt;"OK","",INDEX(Setup!$D$25:$D$29,MATCH($O116,Setup!$B$25:$B$29,0)))</f>
        <v/>
      </c>
      <c r="AE116" s="93" t="str">
        <f>IF($R116&lt;&gt;"OK","",$AD116-$N116)</f>
        <v/>
      </c>
      <c r="AF116" s="79" t="str">
        <f>IF($R116&lt;&gt;"OK","",IF($AB116=0,"No order needed",IF($AE116&gt;=$AS116,"Order by the deadline",IF(AND($O116&lt;&gt;"Domestic",Setup!$D$27-$N116&gt;=$AS116),"Late by this mode: fly it",IF(Setup!$D$28-$N116&gt;=$AS116,"Late: Express courier only",IF($AG116&lt;Setup!$C$5,"Tight: lands before Black Friday",IF(AND($O116&lt;&gt;"Domestic",$AT116&lt;Setup!$C$5),"Tight: by Air lands before Black Friday",IF($AS116+$N116+Setup!$C$28+Setup!$C$11&lt;Setup!$C$5,"Tight: by Express lands before Black Friday","Too late: ration"))))))))</f>
        <v/>
      </c>
      <c r="AG116" s="93" t="str">
        <f>IF($R116&lt;&gt;"OK","",IF($AB116=0,"",$AS116+$N116+INDEX(Setup!$C$25:$C$29,MATCH($O116,Setup!$B$25:$B$29,0))+Setup!$C$11))</f>
        <v/>
      </c>
      <c r="AH116" s="93" t="str">
        <f>IF($R116&lt;&gt;"OK","",IF($F116&lt;=0,"",INT(IF($K116&lt;($F116*MAX(0,(Setup!$C$5-Setup!$C$7)-Setup!$C$4)),Setup!$C$4+$K116/$F116,IF($K116&lt;($F116*MAX(0,(Setup!$C$5-Setup!$C$7)-Setup!$C$4))+($F116*Setup!$C$8*MAX(0,Setup!$C$5-MAX((Setup!$C$5-Setup!$C$7),Setup!$C$4))),MAX((Setup!$C$5-Setup!$C$7),Setup!$C$4)+($K116-($F116*MAX(0,(Setup!$C$5-Setup!$C$7)-Setup!$C$4)))/($F116*Setup!$C$8),IF(AND($W116&gt;0,$K116&lt;($F116*MAX(0,(Setup!$C$5-Setup!$C$7)-Setup!$C$4))+($F116*Setup!$C$8*MAX(0,Setup!$C$5-MAX((Setup!$C$5-Setup!$C$7),Setup!$C$4)))+($W116/4*MAX(0,Setup!$C$5+4-MAX(Setup!$C$5,Setup!$C$4)))),MAX(Setup!$C$5,Setup!$C$4)+($K116-($F116*MAX(0,(Setup!$C$5-Setup!$C$7)-Setup!$C$4))-($F116*Setup!$C$8*MAX(0,Setup!$C$5-MAX((Setup!$C$5-Setup!$C$7),Setup!$C$4))))/($W116/4),MAX(Setup!$C$5+4,Setup!$C$4)+($K116-($F116*MAX(0,(Setup!$C$5-Setup!$C$7)-Setup!$C$4))-($F116*Setup!$C$8*MAX(0,Setup!$C$5-MAX((Setup!$C$5-Setup!$C$7),Setup!$C$4)))-($W116/4*MAX(0,Setup!$C$5+4-MAX(Setup!$C$5,Setup!$C$4))))/($F116*Setup!$C$14)))))))</f>
        <v/>
      </c>
      <c r="AI116" s="79" t="str">
        <f>IF($R116&lt;&gt;"OK","",IF(AND($L116&lt;&gt;"",$L116&gt;0,ISNUMBER($AH116),$M116&gt;$AH116),"Runs out before the incoming delivery arrives",IF($AB116=0,"OK",IF($K116+IF(AND($L116&lt;&gt;"",$L116&gt;0),IF($M116&lt;=$AG116,$L116,0),0)&lt;($F116*MAX(0,MIN($AG116,(Setup!$C$5-Setup!$C$7))-Setup!$C$4)+$F116*Setup!$C$8*MAX(0,MIN($AG116,Setup!$C$5)-MAX((Setup!$C$5-Setup!$C$7),Setup!$C$4))+$W116/4*MAX(0,MIN($AG116,Setup!$C$5+4)-MAX(Setup!$C$5,Setup!$C$4))+$F116*Setup!$C$14*MAX(0,$AG116-MAX(Setup!$C$5+4,Setup!$C$4))),"Runs out before this order can land","OK"))))</f>
        <v/>
      </c>
      <c r="AJ116" s="78" t="str">
        <f>IF($R116&lt;&gt;"OK","",IF($AB116=0,0,IF($AL116="Too slow: send it all fast",$AB116,$AR116)))</f>
        <v/>
      </c>
      <c r="AK116" s="78" t="str">
        <f>IF($R116&lt;&gt;"OK","",$AB116-$AJ116)</f>
        <v/>
      </c>
      <c r="AL116" s="78" t="str">
        <f>IF($R116&lt;&gt;"OK","",IF($AB116=0,"",IF($AB116-$AR116=0,"Nothing left over",IF($O116="Domestic",IF($AG116&lt;=Setup!$C$6+Setup!$C$20+1,"Later units can go by Domestic","Too slow: send it all fast"),IF($AS116+$N116+Setup!$C$25+Setup!$C$11&lt;=Setup!$C$6+Setup!$C$20+1,"Later units can go by Ocean long",IF($AS116+$N116+Setup!$C$26+Setup!$C$11&lt;=Setup!$C$6+Setup!$C$20+1,"Later units can go by Ocean short",IF($AS116+$N116+Setup!$C$27+Setup!$C$11&lt;=Setup!$C$6+Setup!$C$20+1,"Later units can go by Air",IF($AS116+$N116+Setup!$C$28+Setup!$C$11&lt;=Setup!$C$6+Setup!$C$20+1,"Later units can go by Express","Too slow: send it all fast"))))))))</f>
        <v/>
      </c>
      <c r="AM116" s="94" t="str">
        <f>IF($R116&lt;&gt;"OK","",$E116-$D116)</f>
        <v/>
      </c>
      <c r="AN116" s="95" t="str">
        <f>IF($R116&lt;&gt;"OK","",($E116-$D116)/$D116)</f>
        <v/>
      </c>
      <c r="AO116" s="95" t="str">
        <f>IF($R116&lt;&gt;"OK","",IF($AB116&gt;0,$AN116+IF($C116="Evergreen",1000,0),""))</f>
        <v/>
      </c>
      <c r="AP116" s="78" t="str">
        <f>IF(OR($R116&lt;&gt;"OK",$AO116=""),"",COUNTIF($AO$6:$AO$205,"&gt;"&amp;$AO116)+COUNTIF($AO$6:$AO116,$AO116))</f>
        <v/>
      </c>
      <c r="AQ116" s="78" t="str">
        <f>IF(OR($R116&lt;&gt;"OK",$AP116=""),"",INDEX('Buy list'!$G$5:$G$204,$AP116))</f>
        <v/>
      </c>
      <c r="AR116" s="78" t="str">
        <f>IF($R116&lt;&gt;"OK","",IF($AB116=0,0,MIN($AB116,CEILING(MAX(0,($F116*MAX(0,MIN((Setup!$C$6+1+Setup!$C$20),(Setup!$C$5-Setup!$C$7))-Setup!$C$4)+$F116*Setup!$C$8*MAX(0,MIN((Setup!$C$6+1+Setup!$C$20),Setup!$C$5)-MAX((Setup!$C$5-Setup!$C$7),Setup!$C$4))+$W116/4*MAX(0,MIN((Setup!$C$6+1+Setup!$C$20),Setup!$C$5+4)-MAX(Setup!$C$5,Setup!$C$4))+$F116*Setup!$C$14*MAX(0,(Setup!$C$6+1+Setup!$C$20)-MAX(Setup!$C$5+4,Setup!$C$4)))+$Y116-$K116-IF(AND($L116&lt;&gt;"",$L116&gt;0),IF($M116&lt;=Setup!$C$10,$L116,0),0)),IF(OR($P116="",$P116&lt;=0),1,$P116)))))</f>
        <v/>
      </c>
      <c r="AS116" s="96" t="str">
        <f>IF($R116&lt;&gt;"OK","",IF(AND($O116&lt;&gt;"Domestic",ISNUMBER(Setup!$C$22),Setup!$C$22&gt;Setup!$C$4),Setup!$C$22,Setup!$C$4))</f>
        <v/>
      </c>
      <c r="AT116" s="96" t="str">
        <f>IF($R116&lt;&gt;"OK","",IF($AB116=0,"",IF($O116="Domestic",$AG116,$AS116+$N116+Setup!$C$27+Setup!$C$11)))</f>
        <v/>
      </c>
    </row>
    <row r="117" ht="15" customHeight="1" s="46">
      <c r="A117" s="70" t="n"/>
      <c r="B117" s="70" t="n"/>
      <c r="C117" s="70" t="n"/>
      <c r="D117" s="85" t="n"/>
      <c r="E117" s="85" t="n"/>
      <c r="F117" s="86" t="n"/>
      <c r="G117" s="87" t="n"/>
      <c r="H117" s="88" t="n"/>
      <c r="I117" s="89" t="n"/>
      <c r="J117" s="90" t="n"/>
      <c r="K117" s="87" t="n"/>
      <c r="L117" s="87" t="n"/>
      <c r="M117" s="91" t="n"/>
      <c r="N117" s="92" t="n"/>
      <c r="O117" s="70" t="n"/>
      <c r="P117" s="92" t="n"/>
      <c r="Q117" s="87" t="n"/>
      <c r="R117" s="79" t="str">
        <f>IF($A117="","",IF($C117="","Missing: type",IF(OR($D117="",$D117&lt;=0),"Missing: unit cost",IF($E117="","Missing: unit price",IF($F117="","Missing: daily sales",IF($K117="","Missing: on hand",IF($N117="","Missing: production days",IF($O117="","Missing: freight mode",IF(ISNA(MATCH($O117,Setup!$B$25:$B$29,0)),"Unknown freight mode",IF(AND($L117&lt;&gt;"",$L117&gt;0,$M117=""),"Missing: on-order arrival date","OK"))))))))))</f>
        <v/>
      </c>
      <c r="S117" s="78" t="str">
        <f>IF($R117&lt;&gt;"OK","",IF($G117="","",ROUND($G117/IF(OR($H117="",$H117&lt;=0),4,$H117)*4,0)))</f>
        <v/>
      </c>
      <c r="T117" s="78" t="str">
        <f>IF($R117&lt;&gt;"OK","",ROUND(IF($G117="",$F117*4*Setup!$C$19,$G117/IF(OR($H117="",$H117&lt;=0),4,$H117)*4*(1+IF($I117="",Setup!$C$16,$I117)))*IF($J117="",1,$J117),0))</f>
        <v/>
      </c>
      <c r="U117" s="78" t="str">
        <f>IF($R117&lt;&gt;"OK","",ROUND($T117*Setup!$C$17,0))</f>
        <v/>
      </c>
      <c r="V117" s="78" t="str">
        <f>IF($R117&lt;&gt;"OK","",ROUND($T117*Setup!$C$18,0))</f>
        <v/>
      </c>
      <c r="W117" s="78" t="str">
        <f>IF($R117&lt;&gt;"OK","",IF($C117="Evergreen",$V117,IF($C117="Seasonal or new",$U117,$T117)))</f>
        <v/>
      </c>
      <c r="X117" s="78" t="str">
        <f>IF($R117&lt;&gt;"OK","",ROUND(($F117*MAX(0,MIN(Setup!$C$13+1,(Setup!$C$5-Setup!$C$7))-Setup!$C$4)+$F117*Setup!$C$8*MAX(0,MIN(Setup!$C$13+1,Setup!$C$5)-MAX((Setup!$C$5-Setup!$C$7),Setup!$C$4))+$W117/4*MAX(0,MIN(Setup!$C$13+1,Setup!$C$5+4)-MAX(Setup!$C$5,Setup!$C$4))+$F117*Setup!$C$14*MAX(0,Setup!$C$13+1-MAX(Setup!$C$5+4,Setup!$C$4))),0))</f>
        <v/>
      </c>
      <c r="Y117" s="78" t="str">
        <f>IF($R117&lt;&gt;"OK","",ROUND($F117*Setup!$C$15,0))</f>
        <v/>
      </c>
      <c r="Z117" s="78" t="str">
        <f>IF($R117&lt;&gt;"OK","",IF(AND($L117&lt;&gt;"",$L117&gt;0),IF($M117&lt;=Setup!$C$13,$L117,0),0))</f>
        <v/>
      </c>
      <c r="AA117" s="78" t="str">
        <f>IF($R117&lt;&gt;"OK","",MAX(0,$X117+$Y117-$K117-$Z117))</f>
        <v/>
      </c>
      <c r="AB117" s="78" t="str">
        <f>IF($R117&lt;&gt;"OK","",IF($AA117=0,0,CEILING(MAX($AA117,IF($Q117="",0,$Q117)),IF(OR($P117="",$P117&lt;=0),1,$P117))))</f>
        <v/>
      </c>
      <c r="AC117" s="78" t="str">
        <f>IF($R117&lt;&gt;"OK","",$AB117*$D117)</f>
        <v/>
      </c>
      <c r="AD117" s="93" t="str">
        <f>IF($R117&lt;&gt;"OK","",INDEX(Setup!$D$25:$D$29,MATCH($O117,Setup!$B$25:$B$29,0)))</f>
        <v/>
      </c>
      <c r="AE117" s="93" t="str">
        <f>IF($R117&lt;&gt;"OK","",$AD117-$N117)</f>
        <v/>
      </c>
      <c r="AF117" s="79" t="str">
        <f>IF($R117&lt;&gt;"OK","",IF($AB117=0,"No order needed",IF($AE117&gt;=$AS117,"Order by the deadline",IF(AND($O117&lt;&gt;"Domestic",Setup!$D$27-$N117&gt;=$AS117),"Late by this mode: fly it",IF(Setup!$D$28-$N117&gt;=$AS117,"Late: Express courier only",IF($AG117&lt;Setup!$C$5,"Tight: lands before Black Friday",IF(AND($O117&lt;&gt;"Domestic",$AT117&lt;Setup!$C$5),"Tight: by Air lands before Black Friday",IF($AS117+$N117+Setup!$C$28+Setup!$C$11&lt;Setup!$C$5,"Tight: by Express lands before Black Friday","Too late: ration"))))))))</f>
        <v/>
      </c>
      <c r="AG117" s="93" t="str">
        <f>IF($R117&lt;&gt;"OK","",IF($AB117=0,"",$AS117+$N117+INDEX(Setup!$C$25:$C$29,MATCH($O117,Setup!$B$25:$B$29,0))+Setup!$C$11))</f>
        <v/>
      </c>
      <c r="AH117" s="93" t="str">
        <f>IF($R117&lt;&gt;"OK","",IF($F117&lt;=0,"",INT(IF($K117&lt;($F117*MAX(0,(Setup!$C$5-Setup!$C$7)-Setup!$C$4)),Setup!$C$4+$K117/$F117,IF($K117&lt;($F117*MAX(0,(Setup!$C$5-Setup!$C$7)-Setup!$C$4))+($F117*Setup!$C$8*MAX(0,Setup!$C$5-MAX((Setup!$C$5-Setup!$C$7),Setup!$C$4))),MAX((Setup!$C$5-Setup!$C$7),Setup!$C$4)+($K117-($F117*MAX(0,(Setup!$C$5-Setup!$C$7)-Setup!$C$4)))/($F117*Setup!$C$8),IF(AND($W117&gt;0,$K117&lt;($F117*MAX(0,(Setup!$C$5-Setup!$C$7)-Setup!$C$4))+($F117*Setup!$C$8*MAX(0,Setup!$C$5-MAX((Setup!$C$5-Setup!$C$7),Setup!$C$4)))+($W117/4*MAX(0,Setup!$C$5+4-MAX(Setup!$C$5,Setup!$C$4)))),MAX(Setup!$C$5,Setup!$C$4)+($K117-($F117*MAX(0,(Setup!$C$5-Setup!$C$7)-Setup!$C$4))-($F117*Setup!$C$8*MAX(0,Setup!$C$5-MAX((Setup!$C$5-Setup!$C$7),Setup!$C$4))))/($W117/4),MAX(Setup!$C$5+4,Setup!$C$4)+($K117-($F117*MAX(0,(Setup!$C$5-Setup!$C$7)-Setup!$C$4))-($F117*Setup!$C$8*MAX(0,Setup!$C$5-MAX((Setup!$C$5-Setup!$C$7),Setup!$C$4)))-($W117/4*MAX(0,Setup!$C$5+4-MAX(Setup!$C$5,Setup!$C$4))))/($F117*Setup!$C$14)))))))</f>
        <v/>
      </c>
      <c r="AI117" s="79" t="str">
        <f>IF($R117&lt;&gt;"OK","",IF(AND($L117&lt;&gt;"",$L117&gt;0,ISNUMBER($AH117),$M117&gt;$AH117),"Runs out before the incoming delivery arrives",IF($AB117=0,"OK",IF($K117+IF(AND($L117&lt;&gt;"",$L117&gt;0),IF($M117&lt;=$AG117,$L117,0),0)&lt;($F117*MAX(0,MIN($AG117,(Setup!$C$5-Setup!$C$7))-Setup!$C$4)+$F117*Setup!$C$8*MAX(0,MIN($AG117,Setup!$C$5)-MAX((Setup!$C$5-Setup!$C$7),Setup!$C$4))+$W117/4*MAX(0,MIN($AG117,Setup!$C$5+4)-MAX(Setup!$C$5,Setup!$C$4))+$F117*Setup!$C$14*MAX(0,$AG117-MAX(Setup!$C$5+4,Setup!$C$4))),"Runs out before this order can land","OK"))))</f>
        <v/>
      </c>
      <c r="AJ117" s="78" t="str">
        <f>IF($R117&lt;&gt;"OK","",IF($AB117=0,0,IF($AL117="Too slow: send it all fast",$AB117,$AR117)))</f>
        <v/>
      </c>
      <c r="AK117" s="78" t="str">
        <f>IF($R117&lt;&gt;"OK","",$AB117-$AJ117)</f>
        <v/>
      </c>
      <c r="AL117" s="78" t="str">
        <f>IF($R117&lt;&gt;"OK","",IF($AB117=0,"",IF($AB117-$AR117=0,"Nothing left over",IF($O117="Domestic",IF($AG117&lt;=Setup!$C$6+Setup!$C$20+1,"Later units can go by Domestic","Too slow: send it all fast"),IF($AS117+$N117+Setup!$C$25+Setup!$C$11&lt;=Setup!$C$6+Setup!$C$20+1,"Later units can go by Ocean long",IF($AS117+$N117+Setup!$C$26+Setup!$C$11&lt;=Setup!$C$6+Setup!$C$20+1,"Later units can go by Ocean short",IF($AS117+$N117+Setup!$C$27+Setup!$C$11&lt;=Setup!$C$6+Setup!$C$20+1,"Later units can go by Air",IF($AS117+$N117+Setup!$C$28+Setup!$C$11&lt;=Setup!$C$6+Setup!$C$20+1,"Later units can go by Express","Too slow: send it all fast"))))))))</f>
        <v/>
      </c>
      <c r="AM117" s="94" t="str">
        <f>IF($R117&lt;&gt;"OK","",$E117-$D117)</f>
        <v/>
      </c>
      <c r="AN117" s="95" t="str">
        <f>IF($R117&lt;&gt;"OK","",($E117-$D117)/$D117)</f>
        <v/>
      </c>
      <c r="AO117" s="95" t="str">
        <f>IF($R117&lt;&gt;"OK","",IF($AB117&gt;0,$AN117+IF($C117="Evergreen",1000,0),""))</f>
        <v/>
      </c>
      <c r="AP117" s="78" t="str">
        <f>IF(OR($R117&lt;&gt;"OK",$AO117=""),"",COUNTIF($AO$6:$AO$205,"&gt;"&amp;$AO117)+COUNTIF($AO$6:$AO117,$AO117))</f>
        <v/>
      </c>
      <c r="AQ117" s="78" t="str">
        <f>IF(OR($R117&lt;&gt;"OK",$AP117=""),"",INDEX('Buy list'!$G$5:$G$204,$AP117))</f>
        <v/>
      </c>
      <c r="AR117" s="78" t="str">
        <f>IF($R117&lt;&gt;"OK","",IF($AB117=0,0,MIN($AB117,CEILING(MAX(0,($F117*MAX(0,MIN((Setup!$C$6+1+Setup!$C$20),(Setup!$C$5-Setup!$C$7))-Setup!$C$4)+$F117*Setup!$C$8*MAX(0,MIN((Setup!$C$6+1+Setup!$C$20),Setup!$C$5)-MAX((Setup!$C$5-Setup!$C$7),Setup!$C$4))+$W117/4*MAX(0,MIN((Setup!$C$6+1+Setup!$C$20),Setup!$C$5+4)-MAX(Setup!$C$5,Setup!$C$4))+$F117*Setup!$C$14*MAX(0,(Setup!$C$6+1+Setup!$C$20)-MAX(Setup!$C$5+4,Setup!$C$4)))+$Y117-$K117-IF(AND($L117&lt;&gt;"",$L117&gt;0),IF($M117&lt;=Setup!$C$10,$L117,0),0)),IF(OR($P117="",$P117&lt;=0),1,$P117)))))</f>
        <v/>
      </c>
      <c r="AS117" s="96" t="str">
        <f>IF($R117&lt;&gt;"OK","",IF(AND($O117&lt;&gt;"Domestic",ISNUMBER(Setup!$C$22),Setup!$C$22&gt;Setup!$C$4),Setup!$C$22,Setup!$C$4))</f>
        <v/>
      </c>
      <c r="AT117" s="96" t="str">
        <f>IF($R117&lt;&gt;"OK","",IF($AB117=0,"",IF($O117="Domestic",$AG117,$AS117+$N117+Setup!$C$27+Setup!$C$11)))</f>
        <v/>
      </c>
    </row>
    <row r="118" ht="15" customHeight="1" s="46">
      <c r="A118" s="70" t="n"/>
      <c r="B118" s="70" t="n"/>
      <c r="C118" s="70" t="n"/>
      <c r="D118" s="85" t="n"/>
      <c r="E118" s="85" t="n"/>
      <c r="F118" s="86" t="n"/>
      <c r="G118" s="87" t="n"/>
      <c r="H118" s="88" t="n"/>
      <c r="I118" s="89" t="n"/>
      <c r="J118" s="90" t="n"/>
      <c r="K118" s="87" t="n"/>
      <c r="L118" s="87" t="n"/>
      <c r="M118" s="91" t="n"/>
      <c r="N118" s="92" t="n"/>
      <c r="O118" s="70" t="n"/>
      <c r="P118" s="92" t="n"/>
      <c r="Q118" s="87" t="n"/>
      <c r="R118" s="79" t="str">
        <f>IF($A118="","",IF($C118="","Missing: type",IF(OR($D118="",$D118&lt;=0),"Missing: unit cost",IF($E118="","Missing: unit price",IF($F118="","Missing: daily sales",IF($K118="","Missing: on hand",IF($N118="","Missing: production days",IF($O118="","Missing: freight mode",IF(ISNA(MATCH($O118,Setup!$B$25:$B$29,0)),"Unknown freight mode",IF(AND($L118&lt;&gt;"",$L118&gt;0,$M118=""),"Missing: on-order arrival date","OK"))))))))))</f>
        <v/>
      </c>
      <c r="S118" s="78" t="str">
        <f>IF($R118&lt;&gt;"OK","",IF($G118="","",ROUND($G118/IF(OR($H118="",$H118&lt;=0),4,$H118)*4,0)))</f>
        <v/>
      </c>
      <c r="T118" s="78" t="str">
        <f>IF($R118&lt;&gt;"OK","",ROUND(IF($G118="",$F118*4*Setup!$C$19,$G118/IF(OR($H118="",$H118&lt;=0),4,$H118)*4*(1+IF($I118="",Setup!$C$16,$I118)))*IF($J118="",1,$J118),0))</f>
        <v/>
      </c>
      <c r="U118" s="78" t="str">
        <f>IF($R118&lt;&gt;"OK","",ROUND($T118*Setup!$C$17,0))</f>
        <v/>
      </c>
      <c r="V118" s="78" t="str">
        <f>IF($R118&lt;&gt;"OK","",ROUND($T118*Setup!$C$18,0))</f>
        <v/>
      </c>
      <c r="W118" s="78" t="str">
        <f>IF($R118&lt;&gt;"OK","",IF($C118="Evergreen",$V118,IF($C118="Seasonal or new",$U118,$T118)))</f>
        <v/>
      </c>
      <c r="X118" s="78" t="str">
        <f>IF($R118&lt;&gt;"OK","",ROUND(($F118*MAX(0,MIN(Setup!$C$13+1,(Setup!$C$5-Setup!$C$7))-Setup!$C$4)+$F118*Setup!$C$8*MAX(0,MIN(Setup!$C$13+1,Setup!$C$5)-MAX((Setup!$C$5-Setup!$C$7),Setup!$C$4))+$W118/4*MAX(0,MIN(Setup!$C$13+1,Setup!$C$5+4)-MAX(Setup!$C$5,Setup!$C$4))+$F118*Setup!$C$14*MAX(0,Setup!$C$13+1-MAX(Setup!$C$5+4,Setup!$C$4))),0))</f>
        <v/>
      </c>
      <c r="Y118" s="78" t="str">
        <f>IF($R118&lt;&gt;"OK","",ROUND($F118*Setup!$C$15,0))</f>
        <v/>
      </c>
      <c r="Z118" s="78" t="str">
        <f>IF($R118&lt;&gt;"OK","",IF(AND($L118&lt;&gt;"",$L118&gt;0),IF($M118&lt;=Setup!$C$13,$L118,0),0))</f>
        <v/>
      </c>
      <c r="AA118" s="78" t="str">
        <f>IF($R118&lt;&gt;"OK","",MAX(0,$X118+$Y118-$K118-$Z118))</f>
        <v/>
      </c>
      <c r="AB118" s="78" t="str">
        <f>IF($R118&lt;&gt;"OK","",IF($AA118=0,0,CEILING(MAX($AA118,IF($Q118="",0,$Q118)),IF(OR($P118="",$P118&lt;=0),1,$P118))))</f>
        <v/>
      </c>
      <c r="AC118" s="78" t="str">
        <f>IF($R118&lt;&gt;"OK","",$AB118*$D118)</f>
        <v/>
      </c>
      <c r="AD118" s="93" t="str">
        <f>IF($R118&lt;&gt;"OK","",INDEX(Setup!$D$25:$D$29,MATCH($O118,Setup!$B$25:$B$29,0)))</f>
        <v/>
      </c>
      <c r="AE118" s="93" t="str">
        <f>IF($R118&lt;&gt;"OK","",$AD118-$N118)</f>
        <v/>
      </c>
      <c r="AF118" s="79" t="str">
        <f>IF($R118&lt;&gt;"OK","",IF($AB118=0,"No order needed",IF($AE118&gt;=$AS118,"Order by the deadline",IF(AND($O118&lt;&gt;"Domestic",Setup!$D$27-$N118&gt;=$AS118),"Late by this mode: fly it",IF(Setup!$D$28-$N118&gt;=$AS118,"Late: Express courier only",IF($AG118&lt;Setup!$C$5,"Tight: lands before Black Friday",IF(AND($O118&lt;&gt;"Domestic",$AT118&lt;Setup!$C$5),"Tight: by Air lands before Black Friday",IF($AS118+$N118+Setup!$C$28+Setup!$C$11&lt;Setup!$C$5,"Tight: by Express lands before Black Friday","Too late: ration"))))))))</f>
        <v/>
      </c>
      <c r="AG118" s="93" t="str">
        <f>IF($R118&lt;&gt;"OK","",IF($AB118=0,"",$AS118+$N118+INDEX(Setup!$C$25:$C$29,MATCH($O118,Setup!$B$25:$B$29,0))+Setup!$C$11))</f>
        <v/>
      </c>
      <c r="AH118" s="93" t="str">
        <f>IF($R118&lt;&gt;"OK","",IF($F118&lt;=0,"",INT(IF($K118&lt;($F118*MAX(0,(Setup!$C$5-Setup!$C$7)-Setup!$C$4)),Setup!$C$4+$K118/$F118,IF($K118&lt;($F118*MAX(0,(Setup!$C$5-Setup!$C$7)-Setup!$C$4))+($F118*Setup!$C$8*MAX(0,Setup!$C$5-MAX((Setup!$C$5-Setup!$C$7),Setup!$C$4))),MAX((Setup!$C$5-Setup!$C$7),Setup!$C$4)+($K118-($F118*MAX(0,(Setup!$C$5-Setup!$C$7)-Setup!$C$4)))/($F118*Setup!$C$8),IF(AND($W118&gt;0,$K118&lt;($F118*MAX(0,(Setup!$C$5-Setup!$C$7)-Setup!$C$4))+($F118*Setup!$C$8*MAX(0,Setup!$C$5-MAX((Setup!$C$5-Setup!$C$7),Setup!$C$4)))+($W118/4*MAX(0,Setup!$C$5+4-MAX(Setup!$C$5,Setup!$C$4)))),MAX(Setup!$C$5,Setup!$C$4)+($K118-($F118*MAX(0,(Setup!$C$5-Setup!$C$7)-Setup!$C$4))-($F118*Setup!$C$8*MAX(0,Setup!$C$5-MAX((Setup!$C$5-Setup!$C$7),Setup!$C$4))))/($W118/4),MAX(Setup!$C$5+4,Setup!$C$4)+($K118-($F118*MAX(0,(Setup!$C$5-Setup!$C$7)-Setup!$C$4))-($F118*Setup!$C$8*MAX(0,Setup!$C$5-MAX((Setup!$C$5-Setup!$C$7),Setup!$C$4)))-($W118/4*MAX(0,Setup!$C$5+4-MAX(Setup!$C$5,Setup!$C$4))))/($F118*Setup!$C$14)))))))</f>
        <v/>
      </c>
      <c r="AI118" s="79" t="str">
        <f>IF($R118&lt;&gt;"OK","",IF(AND($L118&lt;&gt;"",$L118&gt;0,ISNUMBER($AH118),$M118&gt;$AH118),"Runs out before the incoming delivery arrives",IF($AB118=0,"OK",IF($K118+IF(AND($L118&lt;&gt;"",$L118&gt;0),IF($M118&lt;=$AG118,$L118,0),0)&lt;($F118*MAX(0,MIN($AG118,(Setup!$C$5-Setup!$C$7))-Setup!$C$4)+$F118*Setup!$C$8*MAX(0,MIN($AG118,Setup!$C$5)-MAX((Setup!$C$5-Setup!$C$7),Setup!$C$4))+$W118/4*MAX(0,MIN($AG118,Setup!$C$5+4)-MAX(Setup!$C$5,Setup!$C$4))+$F118*Setup!$C$14*MAX(0,$AG118-MAX(Setup!$C$5+4,Setup!$C$4))),"Runs out before this order can land","OK"))))</f>
        <v/>
      </c>
      <c r="AJ118" s="78" t="str">
        <f>IF($R118&lt;&gt;"OK","",IF($AB118=0,0,IF($AL118="Too slow: send it all fast",$AB118,$AR118)))</f>
        <v/>
      </c>
      <c r="AK118" s="78" t="str">
        <f>IF($R118&lt;&gt;"OK","",$AB118-$AJ118)</f>
        <v/>
      </c>
      <c r="AL118" s="78" t="str">
        <f>IF($R118&lt;&gt;"OK","",IF($AB118=0,"",IF($AB118-$AR118=0,"Nothing left over",IF($O118="Domestic",IF($AG118&lt;=Setup!$C$6+Setup!$C$20+1,"Later units can go by Domestic","Too slow: send it all fast"),IF($AS118+$N118+Setup!$C$25+Setup!$C$11&lt;=Setup!$C$6+Setup!$C$20+1,"Later units can go by Ocean long",IF($AS118+$N118+Setup!$C$26+Setup!$C$11&lt;=Setup!$C$6+Setup!$C$20+1,"Later units can go by Ocean short",IF($AS118+$N118+Setup!$C$27+Setup!$C$11&lt;=Setup!$C$6+Setup!$C$20+1,"Later units can go by Air",IF($AS118+$N118+Setup!$C$28+Setup!$C$11&lt;=Setup!$C$6+Setup!$C$20+1,"Later units can go by Express","Too slow: send it all fast"))))))))</f>
        <v/>
      </c>
      <c r="AM118" s="94" t="str">
        <f>IF($R118&lt;&gt;"OK","",$E118-$D118)</f>
        <v/>
      </c>
      <c r="AN118" s="95" t="str">
        <f>IF($R118&lt;&gt;"OK","",($E118-$D118)/$D118)</f>
        <v/>
      </c>
      <c r="AO118" s="95" t="str">
        <f>IF($R118&lt;&gt;"OK","",IF($AB118&gt;0,$AN118+IF($C118="Evergreen",1000,0),""))</f>
        <v/>
      </c>
      <c r="AP118" s="78" t="str">
        <f>IF(OR($R118&lt;&gt;"OK",$AO118=""),"",COUNTIF($AO$6:$AO$205,"&gt;"&amp;$AO118)+COUNTIF($AO$6:$AO118,$AO118))</f>
        <v/>
      </c>
      <c r="AQ118" s="78" t="str">
        <f>IF(OR($R118&lt;&gt;"OK",$AP118=""),"",INDEX('Buy list'!$G$5:$G$204,$AP118))</f>
        <v/>
      </c>
      <c r="AR118" s="78" t="str">
        <f>IF($R118&lt;&gt;"OK","",IF($AB118=0,0,MIN($AB118,CEILING(MAX(0,($F118*MAX(0,MIN((Setup!$C$6+1+Setup!$C$20),(Setup!$C$5-Setup!$C$7))-Setup!$C$4)+$F118*Setup!$C$8*MAX(0,MIN((Setup!$C$6+1+Setup!$C$20),Setup!$C$5)-MAX((Setup!$C$5-Setup!$C$7),Setup!$C$4))+$W118/4*MAX(0,MIN((Setup!$C$6+1+Setup!$C$20),Setup!$C$5+4)-MAX(Setup!$C$5,Setup!$C$4))+$F118*Setup!$C$14*MAX(0,(Setup!$C$6+1+Setup!$C$20)-MAX(Setup!$C$5+4,Setup!$C$4)))+$Y118-$K118-IF(AND($L118&lt;&gt;"",$L118&gt;0),IF($M118&lt;=Setup!$C$10,$L118,0),0)),IF(OR($P118="",$P118&lt;=0),1,$P118)))))</f>
        <v/>
      </c>
      <c r="AS118" s="96" t="str">
        <f>IF($R118&lt;&gt;"OK","",IF(AND($O118&lt;&gt;"Domestic",ISNUMBER(Setup!$C$22),Setup!$C$22&gt;Setup!$C$4),Setup!$C$22,Setup!$C$4))</f>
        <v/>
      </c>
      <c r="AT118" s="96" t="str">
        <f>IF($R118&lt;&gt;"OK","",IF($AB118=0,"",IF($O118="Domestic",$AG118,$AS118+$N118+Setup!$C$27+Setup!$C$11)))</f>
        <v/>
      </c>
    </row>
    <row r="119" ht="15" customHeight="1" s="46">
      <c r="A119" s="70" t="n"/>
      <c r="B119" s="70" t="n"/>
      <c r="C119" s="70" t="n"/>
      <c r="D119" s="85" t="n"/>
      <c r="E119" s="85" t="n"/>
      <c r="F119" s="86" t="n"/>
      <c r="G119" s="87" t="n"/>
      <c r="H119" s="88" t="n"/>
      <c r="I119" s="89" t="n"/>
      <c r="J119" s="90" t="n"/>
      <c r="K119" s="87" t="n"/>
      <c r="L119" s="87" t="n"/>
      <c r="M119" s="91" t="n"/>
      <c r="N119" s="92" t="n"/>
      <c r="O119" s="70" t="n"/>
      <c r="P119" s="92" t="n"/>
      <c r="Q119" s="87" t="n"/>
      <c r="R119" s="79" t="str">
        <f>IF($A119="","",IF($C119="","Missing: type",IF(OR($D119="",$D119&lt;=0),"Missing: unit cost",IF($E119="","Missing: unit price",IF($F119="","Missing: daily sales",IF($K119="","Missing: on hand",IF($N119="","Missing: production days",IF($O119="","Missing: freight mode",IF(ISNA(MATCH($O119,Setup!$B$25:$B$29,0)),"Unknown freight mode",IF(AND($L119&lt;&gt;"",$L119&gt;0,$M119=""),"Missing: on-order arrival date","OK"))))))))))</f>
        <v/>
      </c>
      <c r="S119" s="78" t="str">
        <f>IF($R119&lt;&gt;"OK","",IF($G119="","",ROUND($G119/IF(OR($H119="",$H119&lt;=0),4,$H119)*4,0)))</f>
        <v/>
      </c>
      <c r="T119" s="78" t="str">
        <f>IF($R119&lt;&gt;"OK","",ROUND(IF($G119="",$F119*4*Setup!$C$19,$G119/IF(OR($H119="",$H119&lt;=0),4,$H119)*4*(1+IF($I119="",Setup!$C$16,$I119)))*IF($J119="",1,$J119),0))</f>
        <v/>
      </c>
      <c r="U119" s="78" t="str">
        <f>IF($R119&lt;&gt;"OK","",ROUND($T119*Setup!$C$17,0))</f>
        <v/>
      </c>
      <c r="V119" s="78" t="str">
        <f>IF($R119&lt;&gt;"OK","",ROUND($T119*Setup!$C$18,0))</f>
        <v/>
      </c>
      <c r="W119" s="78" t="str">
        <f>IF($R119&lt;&gt;"OK","",IF($C119="Evergreen",$V119,IF($C119="Seasonal or new",$U119,$T119)))</f>
        <v/>
      </c>
      <c r="X119" s="78" t="str">
        <f>IF($R119&lt;&gt;"OK","",ROUND(($F119*MAX(0,MIN(Setup!$C$13+1,(Setup!$C$5-Setup!$C$7))-Setup!$C$4)+$F119*Setup!$C$8*MAX(0,MIN(Setup!$C$13+1,Setup!$C$5)-MAX((Setup!$C$5-Setup!$C$7),Setup!$C$4))+$W119/4*MAX(0,MIN(Setup!$C$13+1,Setup!$C$5+4)-MAX(Setup!$C$5,Setup!$C$4))+$F119*Setup!$C$14*MAX(0,Setup!$C$13+1-MAX(Setup!$C$5+4,Setup!$C$4))),0))</f>
        <v/>
      </c>
      <c r="Y119" s="78" t="str">
        <f>IF($R119&lt;&gt;"OK","",ROUND($F119*Setup!$C$15,0))</f>
        <v/>
      </c>
      <c r="Z119" s="78" t="str">
        <f>IF($R119&lt;&gt;"OK","",IF(AND($L119&lt;&gt;"",$L119&gt;0),IF($M119&lt;=Setup!$C$13,$L119,0),0))</f>
        <v/>
      </c>
      <c r="AA119" s="78" t="str">
        <f>IF($R119&lt;&gt;"OK","",MAX(0,$X119+$Y119-$K119-$Z119))</f>
        <v/>
      </c>
      <c r="AB119" s="78" t="str">
        <f>IF($R119&lt;&gt;"OK","",IF($AA119=0,0,CEILING(MAX($AA119,IF($Q119="",0,$Q119)),IF(OR($P119="",$P119&lt;=0),1,$P119))))</f>
        <v/>
      </c>
      <c r="AC119" s="78" t="str">
        <f>IF($R119&lt;&gt;"OK","",$AB119*$D119)</f>
        <v/>
      </c>
      <c r="AD119" s="93" t="str">
        <f>IF($R119&lt;&gt;"OK","",INDEX(Setup!$D$25:$D$29,MATCH($O119,Setup!$B$25:$B$29,0)))</f>
        <v/>
      </c>
      <c r="AE119" s="93" t="str">
        <f>IF($R119&lt;&gt;"OK","",$AD119-$N119)</f>
        <v/>
      </c>
      <c r="AF119" s="79" t="str">
        <f>IF($R119&lt;&gt;"OK","",IF($AB119=0,"No order needed",IF($AE119&gt;=$AS119,"Order by the deadline",IF(AND($O119&lt;&gt;"Domestic",Setup!$D$27-$N119&gt;=$AS119),"Late by this mode: fly it",IF(Setup!$D$28-$N119&gt;=$AS119,"Late: Express courier only",IF($AG119&lt;Setup!$C$5,"Tight: lands before Black Friday",IF(AND($O119&lt;&gt;"Domestic",$AT119&lt;Setup!$C$5),"Tight: by Air lands before Black Friday",IF($AS119+$N119+Setup!$C$28+Setup!$C$11&lt;Setup!$C$5,"Tight: by Express lands before Black Friday","Too late: ration"))))))))</f>
        <v/>
      </c>
      <c r="AG119" s="93" t="str">
        <f>IF($R119&lt;&gt;"OK","",IF($AB119=0,"",$AS119+$N119+INDEX(Setup!$C$25:$C$29,MATCH($O119,Setup!$B$25:$B$29,0))+Setup!$C$11))</f>
        <v/>
      </c>
      <c r="AH119" s="93" t="str">
        <f>IF($R119&lt;&gt;"OK","",IF($F119&lt;=0,"",INT(IF($K119&lt;($F119*MAX(0,(Setup!$C$5-Setup!$C$7)-Setup!$C$4)),Setup!$C$4+$K119/$F119,IF($K119&lt;($F119*MAX(0,(Setup!$C$5-Setup!$C$7)-Setup!$C$4))+($F119*Setup!$C$8*MAX(0,Setup!$C$5-MAX((Setup!$C$5-Setup!$C$7),Setup!$C$4))),MAX((Setup!$C$5-Setup!$C$7),Setup!$C$4)+($K119-($F119*MAX(0,(Setup!$C$5-Setup!$C$7)-Setup!$C$4)))/($F119*Setup!$C$8),IF(AND($W119&gt;0,$K119&lt;($F119*MAX(0,(Setup!$C$5-Setup!$C$7)-Setup!$C$4))+($F119*Setup!$C$8*MAX(0,Setup!$C$5-MAX((Setup!$C$5-Setup!$C$7),Setup!$C$4)))+($W119/4*MAX(0,Setup!$C$5+4-MAX(Setup!$C$5,Setup!$C$4)))),MAX(Setup!$C$5,Setup!$C$4)+($K119-($F119*MAX(0,(Setup!$C$5-Setup!$C$7)-Setup!$C$4))-($F119*Setup!$C$8*MAX(0,Setup!$C$5-MAX((Setup!$C$5-Setup!$C$7),Setup!$C$4))))/($W119/4),MAX(Setup!$C$5+4,Setup!$C$4)+($K119-($F119*MAX(0,(Setup!$C$5-Setup!$C$7)-Setup!$C$4))-($F119*Setup!$C$8*MAX(0,Setup!$C$5-MAX((Setup!$C$5-Setup!$C$7),Setup!$C$4)))-($W119/4*MAX(0,Setup!$C$5+4-MAX(Setup!$C$5,Setup!$C$4))))/($F119*Setup!$C$14)))))))</f>
        <v/>
      </c>
      <c r="AI119" s="79" t="str">
        <f>IF($R119&lt;&gt;"OK","",IF(AND($L119&lt;&gt;"",$L119&gt;0,ISNUMBER($AH119),$M119&gt;$AH119),"Runs out before the incoming delivery arrives",IF($AB119=0,"OK",IF($K119+IF(AND($L119&lt;&gt;"",$L119&gt;0),IF($M119&lt;=$AG119,$L119,0),0)&lt;($F119*MAX(0,MIN($AG119,(Setup!$C$5-Setup!$C$7))-Setup!$C$4)+$F119*Setup!$C$8*MAX(0,MIN($AG119,Setup!$C$5)-MAX((Setup!$C$5-Setup!$C$7),Setup!$C$4))+$W119/4*MAX(0,MIN($AG119,Setup!$C$5+4)-MAX(Setup!$C$5,Setup!$C$4))+$F119*Setup!$C$14*MAX(0,$AG119-MAX(Setup!$C$5+4,Setup!$C$4))),"Runs out before this order can land","OK"))))</f>
        <v/>
      </c>
      <c r="AJ119" s="78" t="str">
        <f>IF($R119&lt;&gt;"OK","",IF($AB119=0,0,IF($AL119="Too slow: send it all fast",$AB119,$AR119)))</f>
        <v/>
      </c>
      <c r="AK119" s="78" t="str">
        <f>IF($R119&lt;&gt;"OK","",$AB119-$AJ119)</f>
        <v/>
      </c>
      <c r="AL119" s="78" t="str">
        <f>IF($R119&lt;&gt;"OK","",IF($AB119=0,"",IF($AB119-$AR119=0,"Nothing left over",IF($O119="Domestic",IF($AG119&lt;=Setup!$C$6+Setup!$C$20+1,"Later units can go by Domestic","Too slow: send it all fast"),IF($AS119+$N119+Setup!$C$25+Setup!$C$11&lt;=Setup!$C$6+Setup!$C$20+1,"Later units can go by Ocean long",IF($AS119+$N119+Setup!$C$26+Setup!$C$11&lt;=Setup!$C$6+Setup!$C$20+1,"Later units can go by Ocean short",IF($AS119+$N119+Setup!$C$27+Setup!$C$11&lt;=Setup!$C$6+Setup!$C$20+1,"Later units can go by Air",IF($AS119+$N119+Setup!$C$28+Setup!$C$11&lt;=Setup!$C$6+Setup!$C$20+1,"Later units can go by Express","Too slow: send it all fast"))))))))</f>
        <v/>
      </c>
      <c r="AM119" s="94" t="str">
        <f>IF($R119&lt;&gt;"OK","",$E119-$D119)</f>
        <v/>
      </c>
      <c r="AN119" s="95" t="str">
        <f>IF($R119&lt;&gt;"OK","",($E119-$D119)/$D119)</f>
        <v/>
      </c>
      <c r="AO119" s="95" t="str">
        <f>IF($R119&lt;&gt;"OK","",IF($AB119&gt;0,$AN119+IF($C119="Evergreen",1000,0),""))</f>
        <v/>
      </c>
      <c r="AP119" s="78" t="str">
        <f>IF(OR($R119&lt;&gt;"OK",$AO119=""),"",COUNTIF($AO$6:$AO$205,"&gt;"&amp;$AO119)+COUNTIF($AO$6:$AO119,$AO119))</f>
        <v/>
      </c>
      <c r="AQ119" s="78" t="str">
        <f>IF(OR($R119&lt;&gt;"OK",$AP119=""),"",INDEX('Buy list'!$G$5:$G$204,$AP119))</f>
        <v/>
      </c>
      <c r="AR119" s="78" t="str">
        <f>IF($R119&lt;&gt;"OK","",IF($AB119=0,0,MIN($AB119,CEILING(MAX(0,($F119*MAX(0,MIN((Setup!$C$6+1+Setup!$C$20),(Setup!$C$5-Setup!$C$7))-Setup!$C$4)+$F119*Setup!$C$8*MAX(0,MIN((Setup!$C$6+1+Setup!$C$20),Setup!$C$5)-MAX((Setup!$C$5-Setup!$C$7),Setup!$C$4))+$W119/4*MAX(0,MIN((Setup!$C$6+1+Setup!$C$20),Setup!$C$5+4)-MAX(Setup!$C$5,Setup!$C$4))+$F119*Setup!$C$14*MAX(0,(Setup!$C$6+1+Setup!$C$20)-MAX(Setup!$C$5+4,Setup!$C$4)))+$Y119-$K119-IF(AND($L119&lt;&gt;"",$L119&gt;0),IF($M119&lt;=Setup!$C$10,$L119,0),0)),IF(OR($P119="",$P119&lt;=0),1,$P119)))))</f>
        <v/>
      </c>
      <c r="AS119" s="96" t="str">
        <f>IF($R119&lt;&gt;"OK","",IF(AND($O119&lt;&gt;"Domestic",ISNUMBER(Setup!$C$22),Setup!$C$22&gt;Setup!$C$4),Setup!$C$22,Setup!$C$4))</f>
        <v/>
      </c>
      <c r="AT119" s="96" t="str">
        <f>IF($R119&lt;&gt;"OK","",IF($AB119=0,"",IF($O119="Domestic",$AG119,$AS119+$N119+Setup!$C$27+Setup!$C$11)))</f>
        <v/>
      </c>
    </row>
    <row r="120" ht="15" customHeight="1" s="46">
      <c r="A120" s="70" t="n"/>
      <c r="B120" s="70" t="n"/>
      <c r="C120" s="70" t="n"/>
      <c r="D120" s="85" t="n"/>
      <c r="E120" s="85" t="n"/>
      <c r="F120" s="86" t="n"/>
      <c r="G120" s="87" t="n"/>
      <c r="H120" s="88" t="n"/>
      <c r="I120" s="89" t="n"/>
      <c r="J120" s="90" t="n"/>
      <c r="K120" s="87" t="n"/>
      <c r="L120" s="87" t="n"/>
      <c r="M120" s="91" t="n"/>
      <c r="N120" s="92" t="n"/>
      <c r="O120" s="70" t="n"/>
      <c r="P120" s="92" t="n"/>
      <c r="Q120" s="87" t="n"/>
      <c r="R120" s="79" t="str">
        <f>IF($A120="","",IF($C120="","Missing: type",IF(OR($D120="",$D120&lt;=0),"Missing: unit cost",IF($E120="","Missing: unit price",IF($F120="","Missing: daily sales",IF($K120="","Missing: on hand",IF($N120="","Missing: production days",IF($O120="","Missing: freight mode",IF(ISNA(MATCH($O120,Setup!$B$25:$B$29,0)),"Unknown freight mode",IF(AND($L120&lt;&gt;"",$L120&gt;0,$M120=""),"Missing: on-order arrival date","OK"))))))))))</f>
        <v/>
      </c>
      <c r="S120" s="78" t="str">
        <f>IF($R120&lt;&gt;"OK","",IF($G120="","",ROUND($G120/IF(OR($H120="",$H120&lt;=0),4,$H120)*4,0)))</f>
        <v/>
      </c>
      <c r="T120" s="78" t="str">
        <f>IF($R120&lt;&gt;"OK","",ROUND(IF($G120="",$F120*4*Setup!$C$19,$G120/IF(OR($H120="",$H120&lt;=0),4,$H120)*4*(1+IF($I120="",Setup!$C$16,$I120)))*IF($J120="",1,$J120),0))</f>
        <v/>
      </c>
      <c r="U120" s="78" t="str">
        <f>IF($R120&lt;&gt;"OK","",ROUND($T120*Setup!$C$17,0))</f>
        <v/>
      </c>
      <c r="V120" s="78" t="str">
        <f>IF($R120&lt;&gt;"OK","",ROUND($T120*Setup!$C$18,0))</f>
        <v/>
      </c>
      <c r="W120" s="78" t="str">
        <f>IF($R120&lt;&gt;"OK","",IF($C120="Evergreen",$V120,IF($C120="Seasonal or new",$U120,$T120)))</f>
        <v/>
      </c>
      <c r="X120" s="78" t="str">
        <f>IF($R120&lt;&gt;"OK","",ROUND(($F120*MAX(0,MIN(Setup!$C$13+1,(Setup!$C$5-Setup!$C$7))-Setup!$C$4)+$F120*Setup!$C$8*MAX(0,MIN(Setup!$C$13+1,Setup!$C$5)-MAX((Setup!$C$5-Setup!$C$7),Setup!$C$4))+$W120/4*MAX(0,MIN(Setup!$C$13+1,Setup!$C$5+4)-MAX(Setup!$C$5,Setup!$C$4))+$F120*Setup!$C$14*MAX(0,Setup!$C$13+1-MAX(Setup!$C$5+4,Setup!$C$4))),0))</f>
        <v/>
      </c>
      <c r="Y120" s="78" t="str">
        <f>IF($R120&lt;&gt;"OK","",ROUND($F120*Setup!$C$15,0))</f>
        <v/>
      </c>
      <c r="Z120" s="78" t="str">
        <f>IF($R120&lt;&gt;"OK","",IF(AND($L120&lt;&gt;"",$L120&gt;0),IF($M120&lt;=Setup!$C$13,$L120,0),0))</f>
        <v/>
      </c>
      <c r="AA120" s="78" t="str">
        <f>IF($R120&lt;&gt;"OK","",MAX(0,$X120+$Y120-$K120-$Z120))</f>
        <v/>
      </c>
      <c r="AB120" s="78" t="str">
        <f>IF($R120&lt;&gt;"OK","",IF($AA120=0,0,CEILING(MAX($AA120,IF($Q120="",0,$Q120)),IF(OR($P120="",$P120&lt;=0),1,$P120))))</f>
        <v/>
      </c>
      <c r="AC120" s="78" t="str">
        <f>IF($R120&lt;&gt;"OK","",$AB120*$D120)</f>
        <v/>
      </c>
      <c r="AD120" s="93" t="str">
        <f>IF($R120&lt;&gt;"OK","",INDEX(Setup!$D$25:$D$29,MATCH($O120,Setup!$B$25:$B$29,0)))</f>
        <v/>
      </c>
      <c r="AE120" s="93" t="str">
        <f>IF($R120&lt;&gt;"OK","",$AD120-$N120)</f>
        <v/>
      </c>
      <c r="AF120" s="79" t="str">
        <f>IF($R120&lt;&gt;"OK","",IF($AB120=0,"No order needed",IF($AE120&gt;=$AS120,"Order by the deadline",IF(AND($O120&lt;&gt;"Domestic",Setup!$D$27-$N120&gt;=$AS120),"Late by this mode: fly it",IF(Setup!$D$28-$N120&gt;=$AS120,"Late: Express courier only",IF($AG120&lt;Setup!$C$5,"Tight: lands before Black Friday",IF(AND($O120&lt;&gt;"Domestic",$AT120&lt;Setup!$C$5),"Tight: by Air lands before Black Friday",IF($AS120+$N120+Setup!$C$28+Setup!$C$11&lt;Setup!$C$5,"Tight: by Express lands before Black Friday","Too late: ration"))))))))</f>
        <v/>
      </c>
      <c r="AG120" s="93" t="str">
        <f>IF($R120&lt;&gt;"OK","",IF($AB120=0,"",$AS120+$N120+INDEX(Setup!$C$25:$C$29,MATCH($O120,Setup!$B$25:$B$29,0))+Setup!$C$11))</f>
        <v/>
      </c>
      <c r="AH120" s="93" t="str">
        <f>IF($R120&lt;&gt;"OK","",IF($F120&lt;=0,"",INT(IF($K120&lt;($F120*MAX(0,(Setup!$C$5-Setup!$C$7)-Setup!$C$4)),Setup!$C$4+$K120/$F120,IF($K120&lt;($F120*MAX(0,(Setup!$C$5-Setup!$C$7)-Setup!$C$4))+($F120*Setup!$C$8*MAX(0,Setup!$C$5-MAX((Setup!$C$5-Setup!$C$7),Setup!$C$4))),MAX((Setup!$C$5-Setup!$C$7),Setup!$C$4)+($K120-($F120*MAX(0,(Setup!$C$5-Setup!$C$7)-Setup!$C$4)))/($F120*Setup!$C$8),IF(AND($W120&gt;0,$K120&lt;($F120*MAX(0,(Setup!$C$5-Setup!$C$7)-Setup!$C$4))+($F120*Setup!$C$8*MAX(0,Setup!$C$5-MAX((Setup!$C$5-Setup!$C$7),Setup!$C$4)))+($W120/4*MAX(0,Setup!$C$5+4-MAX(Setup!$C$5,Setup!$C$4)))),MAX(Setup!$C$5,Setup!$C$4)+($K120-($F120*MAX(0,(Setup!$C$5-Setup!$C$7)-Setup!$C$4))-($F120*Setup!$C$8*MAX(0,Setup!$C$5-MAX((Setup!$C$5-Setup!$C$7),Setup!$C$4))))/($W120/4),MAX(Setup!$C$5+4,Setup!$C$4)+($K120-($F120*MAX(0,(Setup!$C$5-Setup!$C$7)-Setup!$C$4))-($F120*Setup!$C$8*MAX(0,Setup!$C$5-MAX((Setup!$C$5-Setup!$C$7),Setup!$C$4)))-($W120/4*MAX(0,Setup!$C$5+4-MAX(Setup!$C$5,Setup!$C$4))))/($F120*Setup!$C$14)))))))</f>
        <v/>
      </c>
      <c r="AI120" s="79" t="str">
        <f>IF($R120&lt;&gt;"OK","",IF(AND($L120&lt;&gt;"",$L120&gt;0,ISNUMBER($AH120),$M120&gt;$AH120),"Runs out before the incoming delivery arrives",IF($AB120=0,"OK",IF($K120+IF(AND($L120&lt;&gt;"",$L120&gt;0),IF($M120&lt;=$AG120,$L120,0),0)&lt;($F120*MAX(0,MIN($AG120,(Setup!$C$5-Setup!$C$7))-Setup!$C$4)+$F120*Setup!$C$8*MAX(0,MIN($AG120,Setup!$C$5)-MAX((Setup!$C$5-Setup!$C$7),Setup!$C$4))+$W120/4*MAX(0,MIN($AG120,Setup!$C$5+4)-MAX(Setup!$C$5,Setup!$C$4))+$F120*Setup!$C$14*MAX(0,$AG120-MAX(Setup!$C$5+4,Setup!$C$4))),"Runs out before this order can land","OK"))))</f>
        <v/>
      </c>
      <c r="AJ120" s="78" t="str">
        <f>IF($R120&lt;&gt;"OK","",IF($AB120=0,0,IF($AL120="Too slow: send it all fast",$AB120,$AR120)))</f>
        <v/>
      </c>
      <c r="AK120" s="78" t="str">
        <f>IF($R120&lt;&gt;"OK","",$AB120-$AJ120)</f>
        <v/>
      </c>
      <c r="AL120" s="78" t="str">
        <f>IF($R120&lt;&gt;"OK","",IF($AB120=0,"",IF($AB120-$AR120=0,"Nothing left over",IF($O120="Domestic",IF($AG120&lt;=Setup!$C$6+Setup!$C$20+1,"Later units can go by Domestic","Too slow: send it all fast"),IF($AS120+$N120+Setup!$C$25+Setup!$C$11&lt;=Setup!$C$6+Setup!$C$20+1,"Later units can go by Ocean long",IF($AS120+$N120+Setup!$C$26+Setup!$C$11&lt;=Setup!$C$6+Setup!$C$20+1,"Later units can go by Ocean short",IF($AS120+$N120+Setup!$C$27+Setup!$C$11&lt;=Setup!$C$6+Setup!$C$20+1,"Later units can go by Air",IF($AS120+$N120+Setup!$C$28+Setup!$C$11&lt;=Setup!$C$6+Setup!$C$20+1,"Later units can go by Express","Too slow: send it all fast"))))))))</f>
        <v/>
      </c>
      <c r="AM120" s="94" t="str">
        <f>IF($R120&lt;&gt;"OK","",$E120-$D120)</f>
        <v/>
      </c>
      <c r="AN120" s="95" t="str">
        <f>IF($R120&lt;&gt;"OK","",($E120-$D120)/$D120)</f>
        <v/>
      </c>
      <c r="AO120" s="95" t="str">
        <f>IF($R120&lt;&gt;"OK","",IF($AB120&gt;0,$AN120+IF($C120="Evergreen",1000,0),""))</f>
        <v/>
      </c>
      <c r="AP120" s="78" t="str">
        <f>IF(OR($R120&lt;&gt;"OK",$AO120=""),"",COUNTIF($AO$6:$AO$205,"&gt;"&amp;$AO120)+COUNTIF($AO$6:$AO120,$AO120))</f>
        <v/>
      </c>
      <c r="AQ120" s="78" t="str">
        <f>IF(OR($R120&lt;&gt;"OK",$AP120=""),"",INDEX('Buy list'!$G$5:$G$204,$AP120))</f>
        <v/>
      </c>
      <c r="AR120" s="78" t="str">
        <f>IF($R120&lt;&gt;"OK","",IF($AB120=0,0,MIN($AB120,CEILING(MAX(0,($F120*MAX(0,MIN((Setup!$C$6+1+Setup!$C$20),(Setup!$C$5-Setup!$C$7))-Setup!$C$4)+$F120*Setup!$C$8*MAX(0,MIN((Setup!$C$6+1+Setup!$C$20),Setup!$C$5)-MAX((Setup!$C$5-Setup!$C$7),Setup!$C$4))+$W120/4*MAX(0,MIN((Setup!$C$6+1+Setup!$C$20),Setup!$C$5+4)-MAX(Setup!$C$5,Setup!$C$4))+$F120*Setup!$C$14*MAX(0,(Setup!$C$6+1+Setup!$C$20)-MAX(Setup!$C$5+4,Setup!$C$4)))+$Y120-$K120-IF(AND($L120&lt;&gt;"",$L120&gt;0),IF($M120&lt;=Setup!$C$10,$L120,0),0)),IF(OR($P120="",$P120&lt;=0),1,$P120)))))</f>
        <v/>
      </c>
      <c r="AS120" s="96" t="str">
        <f>IF($R120&lt;&gt;"OK","",IF(AND($O120&lt;&gt;"Domestic",ISNUMBER(Setup!$C$22),Setup!$C$22&gt;Setup!$C$4),Setup!$C$22,Setup!$C$4))</f>
        <v/>
      </c>
      <c r="AT120" s="96" t="str">
        <f>IF($R120&lt;&gt;"OK","",IF($AB120=0,"",IF($O120="Domestic",$AG120,$AS120+$N120+Setup!$C$27+Setup!$C$11)))</f>
        <v/>
      </c>
    </row>
    <row r="121" ht="15" customHeight="1" s="46">
      <c r="A121" s="70" t="n"/>
      <c r="B121" s="70" t="n"/>
      <c r="C121" s="70" t="n"/>
      <c r="D121" s="85" t="n"/>
      <c r="E121" s="85" t="n"/>
      <c r="F121" s="86" t="n"/>
      <c r="G121" s="87" t="n"/>
      <c r="H121" s="88" t="n"/>
      <c r="I121" s="89" t="n"/>
      <c r="J121" s="90" t="n"/>
      <c r="K121" s="87" t="n"/>
      <c r="L121" s="87" t="n"/>
      <c r="M121" s="91" t="n"/>
      <c r="N121" s="92" t="n"/>
      <c r="O121" s="70" t="n"/>
      <c r="P121" s="92" t="n"/>
      <c r="Q121" s="87" t="n"/>
      <c r="R121" s="79" t="str">
        <f>IF($A121="","",IF($C121="","Missing: type",IF(OR($D121="",$D121&lt;=0),"Missing: unit cost",IF($E121="","Missing: unit price",IF($F121="","Missing: daily sales",IF($K121="","Missing: on hand",IF($N121="","Missing: production days",IF($O121="","Missing: freight mode",IF(ISNA(MATCH($O121,Setup!$B$25:$B$29,0)),"Unknown freight mode",IF(AND($L121&lt;&gt;"",$L121&gt;0,$M121=""),"Missing: on-order arrival date","OK"))))))))))</f>
        <v/>
      </c>
      <c r="S121" s="78" t="str">
        <f>IF($R121&lt;&gt;"OK","",IF($G121="","",ROUND($G121/IF(OR($H121="",$H121&lt;=0),4,$H121)*4,0)))</f>
        <v/>
      </c>
      <c r="T121" s="78" t="str">
        <f>IF($R121&lt;&gt;"OK","",ROUND(IF($G121="",$F121*4*Setup!$C$19,$G121/IF(OR($H121="",$H121&lt;=0),4,$H121)*4*(1+IF($I121="",Setup!$C$16,$I121)))*IF($J121="",1,$J121),0))</f>
        <v/>
      </c>
      <c r="U121" s="78" t="str">
        <f>IF($R121&lt;&gt;"OK","",ROUND($T121*Setup!$C$17,0))</f>
        <v/>
      </c>
      <c r="V121" s="78" t="str">
        <f>IF($R121&lt;&gt;"OK","",ROUND($T121*Setup!$C$18,0))</f>
        <v/>
      </c>
      <c r="W121" s="78" t="str">
        <f>IF($R121&lt;&gt;"OK","",IF($C121="Evergreen",$V121,IF($C121="Seasonal or new",$U121,$T121)))</f>
        <v/>
      </c>
      <c r="X121" s="78" t="str">
        <f>IF($R121&lt;&gt;"OK","",ROUND(($F121*MAX(0,MIN(Setup!$C$13+1,(Setup!$C$5-Setup!$C$7))-Setup!$C$4)+$F121*Setup!$C$8*MAX(0,MIN(Setup!$C$13+1,Setup!$C$5)-MAX((Setup!$C$5-Setup!$C$7),Setup!$C$4))+$W121/4*MAX(0,MIN(Setup!$C$13+1,Setup!$C$5+4)-MAX(Setup!$C$5,Setup!$C$4))+$F121*Setup!$C$14*MAX(0,Setup!$C$13+1-MAX(Setup!$C$5+4,Setup!$C$4))),0))</f>
        <v/>
      </c>
      <c r="Y121" s="78" t="str">
        <f>IF($R121&lt;&gt;"OK","",ROUND($F121*Setup!$C$15,0))</f>
        <v/>
      </c>
      <c r="Z121" s="78" t="str">
        <f>IF($R121&lt;&gt;"OK","",IF(AND($L121&lt;&gt;"",$L121&gt;0),IF($M121&lt;=Setup!$C$13,$L121,0),0))</f>
        <v/>
      </c>
      <c r="AA121" s="78" t="str">
        <f>IF($R121&lt;&gt;"OK","",MAX(0,$X121+$Y121-$K121-$Z121))</f>
        <v/>
      </c>
      <c r="AB121" s="78" t="str">
        <f>IF($R121&lt;&gt;"OK","",IF($AA121=0,0,CEILING(MAX($AA121,IF($Q121="",0,$Q121)),IF(OR($P121="",$P121&lt;=0),1,$P121))))</f>
        <v/>
      </c>
      <c r="AC121" s="78" t="str">
        <f>IF($R121&lt;&gt;"OK","",$AB121*$D121)</f>
        <v/>
      </c>
      <c r="AD121" s="93" t="str">
        <f>IF($R121&lt;&gt;"OK","",INDEX(Setup!$D$25:$D$29,MATCH($O121,Setup!$B$25:$B$29,0)))</f>
        <v/>
      </c>
      <c r="AE121" s="93" t="str">
        <f>IF($R121&lt;&gt;"OK","",$AD121-$N121)</f>
        <v/>
      </c>
      <c r="AF121" s="79" t="str">
        <f>IF($R121&lt;&gt;"OK","",IF($AB121=0,"No order needed",IF($AE121&gt;=$AS121,"Order by the deadline",IF(AND($O121&lt;&gt;"Domestic",Setup!$D$27-$N121&gt;=$AS121),"Late by this mode: fly it",IF(Setup!$D$28-$N121&gt;=$AS121,"Late: Express courier only",IF($AG121&lt;Setup!$C$5,"Tight: lands before Black Friday",IF(AND($O121&lt;&gt;"Domestic",$AT121&lt;Setup!$C$5),"Tight: by Air lands before Black Friday",IF($AS121+$N121+Setup!$C$28+Setup!$C$11&lt;Setup!$C$5,"Tight: by Express lands before Black Friday","Too late: ration"))))))))</f>
        <v/>
      </c>
      <c r="AG121" s="93" t="str">
        <f>IF($R121&lt;&gt;"OK","",IF($AB121=0,"",$AS121+$N121+INDEX(Setup!$C$25:$C$29,MATCH($O121,Setup!$B$25:$B$29,0))+Setup!$C$11))</f>
        <v/>
      </c>
      <c r="AH121" s="93" t="str">
        <f>IF($R121&lt;&gt;"OK","",IF($F121&lt;=0,"",INT(IF($K121&lt;($F121*MAX(0,(Setup!$C$5-Setup!$C$7)-Setup!$C$4)),Setup!$C$4+$K121/$F121,IF($K121&lt;($F121*MAX(0,(Setup!$C$5-Setup!$C$7)-Setup!$C$4))+($F121*Setup!$C$8*MAX(0,Setup!$C$5-MAX((Setup!$C$5-Setup!$C$7),Setup!$C$4))),MAX((Setup!$C$5-Setup!$C$7),Setup!$C$4)+($K121-($F121*MAX(0,(Setup!$C$5-Setup!$C$7)-Setup!$C$4)))/($F121*Setup!$C$8),IF(AND($W121&gt;0,$K121&lt;($F121*MAX(0,(Setup!$C$5-Setup!$C$7)-Setup!$C$4))+($F121*Setup!$C$8*MAX(0,Setup!$C$5-MAX((Setup!$C$5-Setup!$C$7),Setup!$C$4)))+($W121/4*MAX(0,Setup!$C$5+4-MAX(Setup!$C$5,Setup!$C$4)))),MAX(Setup!$C$5,Setup!$C$4)+($K121-($F121*MAX(0,(Setup!$C$5-Setup!$C$7)-Setup!$C$4))-($F121*Setup!$C$8*MAX(0,Setup!$C$5-MAX((Setup!$C$5-Setup!$C$7),Setup!$C$4))))/($W121/4),MAX(Setup!$C$5+4,Setup!$C$4)+($K121-($F121*MAX(0,(Setup!$C$5-Setup!$C$7)-Setup!$C$4))-($F121*Setup!$C$8*MAX(0,Setup!$C$5-MAX((Setup!$C$5-Setup!$C$7),Setup!$C$4)))-($W121/4*MAX(0,Setup!$C$5+4-MAX(Setup!$C$5,Setup!$C$4))))/($F121*Setup!$C$14)))))))</f>
        <v/>
      </c>
      <c r="AI121" s="79" t="str">
        <f>IF($R121&lt;&gt;"OK","",IF(AND($L121&lt;&gt;"",$L121&gt;0,ISNUMBER($AH121),$M121&gt;$AH121),"Runs out before the incoming delivery arrives",IF($AB121=0,"OK",IF($K121+IF(AND($L121&lt;&gt;"",$L121&gt;0),IF($M121&lt;=$AG121,$L121,0),0)&lt;($F121*MAX(0,MIN($AG121,(Setup!$C$5-Setup!$C$7))-Setup!$C$4)+$F121*Setup!$C$8*MAX(0,MIN($AG121,Setup!$C$5)-MAX((Setup!$C$5-Setup!$C$7),Setup!$C$4))+$W121/4*MAX(0,MIN($AG121,Setup!$C$5+4)-MAX(Setup!$C$5,Setup!$C$4))+$F121*Setup!$C$14*MAX(0,$AG121-MAX(Setup!$C$5+4,Setup!$C$4))),"Runs out before this order can land","OK"))))</f>
        <v/>
      </c>
      <c r="AJ121" s="78" t="str">
        <f>IF($R121&lt;&gt;"OK","",IF($AB121=0,0,IF($AL121="Too slow: send it all fast",$AB121,$AR121)))</f>
        <v/>
      </c>
      <c r="AK121" s="78" t="str">
        <f>IF($R121&lt;&gt;"OK","",$AB121-$AJ121)</f>
        <v/>
      </c>
      <c r="AL121" s="78" t="str">
        <f>IF($R121&lt;&gt;"OK","",IF($AB121=0,"",IF($AB121-$AR121=0,"Nothing left over",IF($O121="Domestic",IF($AG121&lt;=Setup!$C$6+Setup!$C$20+1,"Later units can go by Domestic","Too slow: send it all fast"),IF($AS121+$N121+Setup!$C$25+Setup!$C$11&lt;=Setup!$C$6+Setup!$C$20+1,"Later units can go by Ocean long",IF($AS121+$N121+Setup!$C$26+Setup!$C$11&lt;=Setup!$C$6+Setup!$C$20+1,"Later units can go by Ocean short",IF($AS121+$N121+Setup!$C$27+Setup!$C$11&lt;=Setup!$C$6+Setup!$C$20+1,"Later units can go by Air",IF($AS121+$N121+Setup!$C$28+Setup!$C$11&lt;=Setup!$C$6+Setup!$C$20+1,"Later units can go by Express","Too slow: send it all fast"))))))))</f>
        <v/>
      </c>
      <c r="AM121" s="94" t="str">
        <f>IF($R121&lt;&gt;"OK","",$E121-$D121)</f>
        <v/>
      </c>
      <c r="AN121" s="95" t="str">
        <f>IF($R121&lt;&gt;"OK","",($E121-$D121)/$D121)</f>
        <v/>
      </c>
      <c r="AO121" s="95" t="str">
        <f>IF($R121&lt;&gt;"OK","",IF($AB121&gt;0,$AN121+IF($C121="Evergreen",1000,0),""))</f>
        <v/>
      </c>
      <c r="AP121" s="78" t="str">
        <f>IF(OR($R121&lt;&gt;"OK",$AO121=""),"",COUNTIF($AO$6:$AO$205,"&gt;"&amp;$AO121)+COUNTIF($AO$6:$AO121,$AO121))</f>
        <v/>
      </c>
      <c r="AQ121" s="78" t="str">
        <f>IF(OR($R121&lt;&gt;"OK",$AP121=""),"",INDEX('Buy list'!$G$5:$G$204,$AP121))</f>
        <v/>
      </c>
      <c r="AR121" s="78" t="str">
        <f>IF($R121&lt;&gt;"OK","",IF($AB121=0,0,MIN($AB121,CEILING(MAX(0,($F121*MAX(0,MIN((Setup!$C$6+1+Setup!$C$20),(Setup!$C$5-Setup!$C$7))-Setup!$C$4)+$F121*Setup!$C$8*MAX(0,MIN((Setup!$C$6+1+Setup!$C$20),Setup!$C$5)-MAX((Setup!$C$5-Setup!$C$7),Setup!$C$4))+$W121/4*MAX(0,MIN((Setup!$C$6+1+Setup!$C$20),Setup!$C$5+4)-MAX(Setup!$C$5,Setup!$C$4))+$F121*Setup!$C$14*MAX(0,(Setup!$C$6+1+Setup!$C$20)-MAX(Setup!$C$5+4,Setup!$C$4)))+$Y121-$K121-IF(AND($L121&lt;&gt;"",$L121&gt;0),IF($M121&lt;=Setup!$C$10,$L121,0),0)),IF(OR($P121="",$P121&lt;=0),1,$P121)))))</f>
        <v/>
      </c>
      <c r="AS121" s="96" t="str">
        <f>IF($R121&lt;&gt;"OK","",IF(AND($O121&lt;&gt;"Domestic",ISNUMBER(Setup!$C$22),Setup!$C$22&gt;Setup!$C$4),Setup!$C$22,Setup!$C$4))</f>
        <v/>
      </c>
      <c r="AT121" s="96" t="str">
        <f>IF($R121&lt;&gt;"OK","",IF($AB121=0,"",IF($O121="Domestic",$AG121,$AS121+$N121+Setup!$C$27+Setup!$C$11)))</f>
        <v/>
      </c>
    </row>
    <row r="122" ht="15" customHeight="1" s="46">
      <c r="A122" s="70" t="n"/>
      <c r="B122" s="70" t="n"/>
      <c r="C122" s="70" t="n"/>
      <c r="D122" s="85" t="n"/>
      <c r="E122" s="85" t="n"/>
      <c r="F122" s="86" t="n"/>
      <c r="G122" s="87" t="n"/>
      <c r="H122" s="88" t="n"/>
      <c r="I122" s="89" t="n"/>
      <c r="J122" s="90" t="n"/>
      <c r="K122" s="87" t="n"/>
      <c r="L122" s="87" t="n"/>
      <c r="M122" s="91" t="n"/>
      <c r="N122" s="92" t="n"/>
      <c r="O122" s="70" t="n"/>
      <c r="P122" s="92" t="n"/>
      <c r="Q122" s="87" t="n"/>
      <c r="R122" s="79" t="str">
        <f>IF($A122="","",IF($C122="","Missing: type",IF(OR($D122="",$D122&lt;=0),"Missing: unit cost",IF($E122="","Missing: unit price",IF($F122="","Missing: daily sales",IF($K122="","Missing: on hand",IF($N122="","Missing: production days",IF($O122="","Missing: freight mode",IF(ISNA(MATCH($O122,Setup!$B$25:$B$29,0)),"Unknown freight mode",IF(AND($L122&lt;&gt;"",$L122&gt;0,$M122=""),"Missing: on-order arrival date","OK"))))))))))</f>
        <v/>
      </c>
      <c r="S122" s="78" t="str">
        <f>IF($R122&lt;&gt;"OK","",IF($G122="","",ROUND($G122/IF(OR($H122="",$H122&lt;=0),4,$H122)*4,0)))</f>
        <v/>
      </c>
      <c r="T122" s="78" t="str">
        <f>IF($R122&lt;&gt;"OK","",ROUND(IF($G122="",$F122*4*Setup!$C$19,$G122/IF(OR($H122="",$H122&lt;=0),4,$H122)*4*(1+IF($I122="",Setup!$C$16,$I122)))*IF($J122="",1,$J122),0))</f>
        <v/>
      </c>
      <c r="U122" s="78" t="str">
        <f>IF($R122&lt;&gt;"OK","",ROUND($T122*Setup!$C$17,0))</f>
        <v/>
      </c>
      <c r="V122" s="78" t="str">
        <f>IF($R122&lt;&gt;"OK","",ROUND($T122*Setup!$C$18,0))</f>
        <v/>
      </c>
      <c r="W122" s="78" t="str">
        <f>IF($R122&lt;&gt;"OK","",IF($C122="Evergreen",$V122,IF($C122="Seasonal or new",$U122,$T122)))</f>
        <v/>
      </c>
      <c r="X122" s="78" t="str">
        <f>IF($R122&lt;&gt;"OK","",ROUND(($F122*MAX(0,MIN(Setup!$C$13+1,(Setup!$C$5-Setup!$C$7))-Setup!$C$4)+$F122*Setup!$C$8*MAX(0,MIN(Setup!$C$13+1,Setup!$C$5)-MAX((Setup!$C$5-Setup!$C$7),Setup!$C$4))+$W122/4*MAX(0,MIN(Setup!$C$13+1,Setup!$C$5+4)-MAX(Setup!$C$5,Setup!$C$4))+$F122*Setup!$C$14*MAX(0,Setup!$C$13+1-MAX(Setup!$C$5+4,Setup!$C$4))),0))</f>
        <v/>
      </c>
      <c r="Y122" s="78" t="str">
        <f>IF($R122&lt;&gt;"OK","",ROUND($F122*Setup!$C$15,0))</f>
        <v/>
      </c>
      <c r="Z122" s="78" t="str">
        <f>IF($R122&lt;&gt;"OK","",IF(AND($L122&lt;&gt;"",$L122&gt;0),IF($M122&lt;=Setup!$C$13,$L122,0),0))</f>
        <v/>
      </c>
      <c r="AA122" s="78" t="str">
        <f>IF($R122&lt;&gt;"OK","",MAX(0,$X122+$Y122-$K122-$Z122))</f>
        <v/>
      </c>
      <c r="AB122" s="78" t="str">
        <f>IF($R122&lt;&gt;"OK","",IF($AA122=0,0,CEILING(MAX($AA122,IF($Q122="",0,$Q122)),IF(OR($P122="",$P122&lt;=0),1,$P122))))</f>
        <v/>
      </c>
      <c r="AC122" s="78" t="str">
        <f>IF($R122&lt;&gt;"OK","",$AB122*$D122)</f>
        <v/>
      </c>
      <c r="AD122" s="93" t="str">
        <f>IF($R122&lt;&gt;"OK","",INDEX(Setup!$D$25:$D$29,MATCH($O122,Setup!$B$25:$B$29,0)))</f>
        <v/>
      </c>
      <c r="AE122" s="93" t="str">
        <f>IF($R122&lt;&gt;"OK","",$AD122-$N122)</f>
        <v/>
      </c>
      <c r="AF122" s="79" t="str">
        <f>IF($R122&lt;&gt;"OK","",IF($AB122=0,"No order needed",IF($AE122&gt;=$AS122,"Order by the deadline",IF(AND($O122&lt;&gt;"Domestic",Setup!$D$27-$N122&gt;=$AS122),"Late by this mode: fly it",IF(Setup!$D$28-$N122&gt;=$AS122,"Late: Express courier only",IF($AG122&lt;Setup!$C$5,"Tight: lands before Black Friday",IF(AND($O122&lt;&gt;"Domestic",$AT122&lt;Setup!$C$5),"Tight: by Air lands before Black Friday",IF($AS122+$N122+Setup!$C$28+Setup!$C$11&lt;Setup!$C$5,"Tight: by Express lands before Black Friday","Too late: ration"))))))))</f>
        <v/>
      </c>
      <c r="AG122" s="93" t="str">
        <f>IF($R122&lt;&gt;"OK","",IF($AB122=0,"",$AS122+$N122+INDEX(Setup!$C$25:$C$29,MATCH($O122,Setup!$B$25:$B$29,0))+Setup!$C$11))</f>
        <v/>
      </c>
      <c r="AH122" s="93" t="str">
        <f>IF($R122&lt;&gt;"OK","",IF($F122&lt;=0,"",INT(IF($K122&lt;($F122*MAX(0,(Setup!$C$5-Setup!$C$7)-Setup!$C$4)),Setup!$C$4+$K122/$F122,IF($K122&lt;($F122*MAX(0,(Setup!$C$5-Setup!$C$7)-Setup!$C$4))+($F122*Setup!$C$8*MAX(0,Setup!$C$5-MAX((Setup!$C$5-Setup!$C$7),Setup!$C$4))),MAX((Setup!$C$5-Setup!$C$7),Setup!$C$4)+($K122-($F122*MAX(0,(Setup!$C$5-Setup!$C$7)-Setup!$C$4)))/($F122*Setup!$C$8),IF(AND($W122&gt;0,$K122&lt;($F122*MAX(0,(Setup!$C$5-Setup!$C$7)-Setup!$C$4))+($F122*Setup!$C$8*MAX(0,Setup!$C$5-MAX((Setup!$C$5-Setup!$C$7),Setup!$C$4)))+($W122/4*MAX(0,Setup!$C$5+4-MAX(Setup!$C$5,Setup!$C$4)))),MAX(Setup!$C$5,Setup!$C$4)+($K122-($F122*MAX(0,(Setup!$C$5-Setup!$C$7)-Setup!$C$4))-($F122*Setup!$C$8*MAX(0,Setup!$C$5-MAX((Setup!$C$5-Setup!$C$7),Setup!$C$4))))/($W122/4),MAX(Setup!$C$5+4,Setup!$C$4)+($K122-($F122*MAX(0,(Setup!$C$5-Setup!$C$7)-Setup!$C$4))-($F122*Setup!$C$8*MAX(0,Setup!$C$5-MAX((Setup!$C$5-Setup!$C$7),Setup!$C$4)))-($W122/4*MAX(0,Setup!$C$5+4-MAX(Setup!$C$5,Setup!$C$4))))/($F122*Setup!$C$14)))))))</f>
        <v/>
      </c>
      <c r="AI122" s="79" t="str">
        <f>IF($R122&lt;&gt;"OK","",IF(AND($L122&lt;&gt;"",$L122&gt;0,ISNUMBER($AH122),$M122&gt;$AH122),"Runs out before the incoming delivery arrives",IF($AB122=0,"OK",IF($K122+IF(AND($L122&lt;&gt;"",$L122&gt;0),IF($M122&lt;=$AG122,$L122,0),0)&lt;($F122*MAX(0,MIN($AG122,(Setup!$C$5-Setup!$C$7))-Setup!$C$4)+$F122*Setup!$C$8*MAX(0,MIN($AG122,Setup!$C$5)-MAX((Setup!$C$5-Setup!$C$7),Setup!$C$4))+$W122/4*MAX(0,MIN($AG122,Setup!$C$5+4)-MAX(Setup!$C$5,Setup!$C$4))+$F122*Setup!$C$14*MAX(0,$AG122-MAX(Setup!$C$5+4,Setup!$C$4))),"Runs out before this order can land","OK"))))</f>
        <v/>
      </c>
      <c r="AJ122" s="78" t="str">
        <f>IF($R122&lt;&gt;"OK","",IF($AB122=0,0,IF($AL122="Too slow: send it all fast",$AB122,$AR122)))</f>
        <v/>
      </c>
      <c r="AK122" s="78" t="str">
        <f>IF($R122&lt;&gt;"OK","",$AB122-$AJ122)</f>
        <v/>
      </c>
      <c r="AL122" s="78" t="str">
        <f>IF($R122&lt;&gt;"OK","",IF($AB122=0,"",IF($AB122-$AR122=0,"Nothing left over",IF($O122="Domestic",IF($AG122&lt;=Setup!$C$6+Setup!$C$20+1,"Later units can go by Domestic","Too slow: send it all fast"),IF($AS122+$N122+Setup!$C$25+Setup!$C$11&lt;=Setup!$C$6+Setup!$C$20+1,"Later units can go by Ocean long",IF($AS122+$N122+Setup!$C$26+Setup!$C$11&lt;=Setup!$C$6+Setup!$C$20+1,"Later units can go by Ocean short",IF($AS122+$N122+Setup!$C$27+Setup!$C$11&lt;=Setup!$C$6+Setup!$C$20+1,"Later units can go by Air",IF($AS122+$N122+Setup!$C$28+Setup!$C$11&lt;=Setup!$C$6+Setup!$C$20+1,"Later units can go by Express","Too slow: send it all fast"))))))))</f>
        <v/>
      </c>
      <c r="AM122" s="94" t="str">
        <f>IF($R122&lt;&gt;"OK","",$E122-$D122)</f>
        <v/>
      </c>
      <c r="AN122" s="95" t="str">
        <f>IF($R122&lt;&gt;"OK","",($E122-$D122)/$D122)</f>
        <v/>
      </c>
      <c r="AO122" s="95" t="str">
        <f>IF($R122&lt;&gt;"OK","",IF($AB122&gt;0,$AN122+IF($C122="Evergreen",1000,0),""))</f>
        <v/>
      </c>
      <c r="AP122" s="78" t="str">
        <f>IF(OR($R122&lt;&gt;"OK",$AO122=""),"",COUNTIF($AO$6:$AO$205,"&gt;"&amp;$AO122)+COUNTIF($AO$6:$AO122,$AO122))</f>
        <v/>
      </c>
      <c r="AQ122" s="78" t="str">
        <f>IF(OR($R122&lt;&gt;"OK",$AP122=""),"",INDEX('Buy list'!$G$5:$G$204,$AP122))</f>
        <v/>
      </c>
      <c r="AR122" s="78" t="str">
        <f>IF($R122&lt;&gt;"OK","",IF($AB122=0,0,MIN($AB122,CEILING(MAX(0,($F122*MAX(0,MIN((Setup!$C$6+1+Setup!$C$20),(Setup!$C$5-Setup!$C$7))-Setup!$C$4)+$F122*Setup!$C$8*MAX(0,MIN((Setup!$C$6+1+Setup!$C$20),Setup!$C$5)-MAX((Setup!$C$5-Setup!$C$7),Setup!$C$4))+$W122/4*MAX(0,MIN((Setup!$C$6+1+Setup!$C$20),Setup!$C$5+4)-MAX(Setup!$C$5,Setup!$C$4))+$F122*Setup!$C$14*MAX(0,(Setup!$C$6+1+Setup!$C$20)-MAX(Setup!$C$5+4,Setup!$C$4)))+$Y122-$K122-IF(AND($L122&lt;&gt;"",$L122&gt;0),IF($M122&lt;=Setup!$C$10,$L122,0),0)),IF(OR($P122="",$P122&lt;=0),1,$P122)))))</f>
        <v/>
      </c>
      <c r="AS122" s="96" t="str">
        <f>IF($R122&lt;&gt;"OK","",IF(AND($O122&lt;&gt;"Domestic",ISNUMBER(Setup!$C$22),Setup!$C$22&gt;Setup!$C$4),Setup!$C$22,Setup!$C$4))</f>
        <v/>
      </c>
      <c r="AT122" s="96" t="str">
        <f>IF($R122&lt;&gt;"OK","",IF($AB122=0,"",IF($O122="Domestic",$AG122,$AS122+$N122+Setup!$C$27+Setup!$C$11)))</f>
        <v/>
      </c>
    </row>
    <row r="123" ht="15" customHeight="1" s="46">
      <c r="A123" s="70" t="n"/>
      <c r="B123" s="70" t="n"/>
      <c r="C123" s="70" t="n"/>
      <c r="D123" s="85" t="n"/>
      <c r="E123" s="85" t="n"/>
      <c r="F123" s="86" t="n"/>
      <c r="G123" s="87" t="n"/>
      <c r="H123" s="88" t="n"/>
      <c r="I123" s="89" t="n"/>
      <c r="J123" s="90" t="n"/>
      <c r="K123" s="87" t="n"/>
      <c r="L123" s="87" t="n"/>
      <c r="M123" s="91" t="n"/>
      <c r="N123" s="92" t="n"/>
      <c r="O123" s="70" t="n"/>
      <c r="P123" s="92" t="n"/>
      <c r="Q123" s="87" t="n"/>
      <c r="R123" s="79" t="str">
        <f>IF($A123="","",IF($C123="","Missing: type",IF(OR($D123="",$D123&lt;=0),"Missing: unit cost",IF($E123="","Missing: unit price",IF($F123="","Missing: daily sales",IF($K123="","Missing: on hand",IF($N123="","Missing: production days",IF($O123="","Missing: freight mode",IF(ISNA(MATCH($O123,Setup!$B$25:$B$29,0)),"Unknown freight mode",IF(AND($L123&lt;&gt;"",$L123&gt;0,$M123=""),"Missing: on-order arrival date","OK"))))))))))</f>
        <v/>
      </c>
      <c r="S123" s="78" t="str">
        <f>IF($R123&lt;&gt;"OK","",IF($G123="","",ROUND($G123/IF(OR($H123="",$H123&lt;=0),4,$H123)*4,0)))</f>
        <v/>
      </c>
      <c r="T123" s="78" t="str">
        <f>IF($R123&lt;&gt;"OK","",ROUND(IF($G123="",$F123*4*Setup!$C$19,$G123/IF(OR($H123="",$H123&lt;=0),4,$H123)*4*(1+IF($I123="",Setup!$C$16,$I123)))*IF($J123="",1,$J123),0))</f>
        <v/>
      </c>
      <c r="U123" s="78" t="str">
        <f>IF($R123&lt;&gt;"OK","",ROUND($T123*Setup!$C$17,0))</f>
        <v/>
      </c>
      <c r="V123" s="78" t="str">
        <f>IF($R123&lt;&gt;"OK","",ROUND($T123*Setup!$C$18,0))</f>
        <v/>
      </c>
      <c r="W123" s="78" t="str">
        <f>IF($R123&lt;&gt;"OK","",IF($C123="Evergreen",$V123,IF($C123="Seasonal or new",$U123,$T123)))</f>
        <v/>
      </c>
      <c r="X123" s="78" t="str">
        <f>IF($R123&lt;&gt;"OK","",ROUND(($F123*MAX(0,MIN(Setup!$C$13+1,(Setup!$C$5-Setup!$C$7))-Setup!$C$4)+$F123*Setup!$C$8*MAX(0,MIN(Setup!$C$13+1,Setup!$C$5)-MAX((Setup!$C$5-Setup!$C$7),Setup!$C$4))+$W123/4*MAX(0,MIN(Setup!$C$13+1,Setup!$C$5+4)-MAX(Setup!$C$5,Setup!$C$4))+$F123*Setup!$C$14*MAX(0,Setup!$C$13+1-MAX(Setup!$C$5+4,Setup!$C$4))),0))</f>
        <v/>
      </c>
      <c r="Y123" s="78" t="str">
        <f>IF($R123&lt;&gt;"OK","",ROUND($F123*Setup!$C$15,0))</f>
        <v/>
      </c>
      <c r="Z123" s="78" t="str">
        <f>IF($R123&lt;&gt;"OK","",IF(AND($L123&lt;&gt;"",$L123&gt;0),IF($M123&lt;=Setup!$C$13,$L123,0),0))</f>
        <v/>
      </c>
      <c r="AA123" s="78" t="str">
        <f>IF($R123&lt;&gt;"OK","",MAX(0,$X123+$Y123-$K123-$Z123))</f>
        <v/>
      </c>
      <c r="AB123" s="78" t="str">
        <f>IF($R123&lt;&gt;"OK","",IF($AA123=0,0,CEILING(MAX($AA123,IF($Q123="",0,$Q123)),IF(OR($P123="",$P123&lt;=0),1,$P123))))</f>
        <v/>
      </c>
      <c r="AC123" s="78" t="str">
        <f>IF($R123&lt;&gt;"OK","",$AB123*$D123)</f>
        <v/>
      </c>
      <c r="AD123" s="93" t="str">
        <f>IF($R123&lt;&gt;"OK","",INDEX(Setup!$D$25:$D$29,MATCH($O123,Setup!$B$25:$B$29,0)))</f>
        <v/>
      </c>
      <c r="AE123" s="93" t="str">
        <f>IF($R123&lt;&gt;"OK","",$AD123-$N123)</f>
        <v/>
      </c>
      <c r="AF123" s="79" t="str">
        <f>IF($R123&lt;&gt;"OK","",IF($AB123=0,"No order needed",IF($AE123&gt;=$AS123,"Order by the deadline",IF(AND($O123&lt;&gt;"Domestic",Setup!$D$27-$N123&gt;=$AS123),"Late by this mode: fly it",IF(Setup!$D$28-$N123&gt;=$AS123,"Late: Express courier only",IF($AG123&lt;Setup!$C$5,"Tight: lands before Black Friday",IF(AND($O123&lt;&gt;"Domestic",$AT123&lt;Setup!$C$5),"Tight: by Air lands before Black Friday",IF($AS123+$N123+Setup!$C$28+Setup!$C$11&lt;Setup!$C$5,"Tight: by Express lands before Black Friday","Too late: ration"))))))))</f>
        <v/>
      </c>
      <c r="AG123" s="93" t="str">
        <f>IF($R123&lt;&gt;"OK","",IF($AB123=0,"",$AS123+$N123+INDEX(Setup!$C$25:$C$29,MATCH($O123,Setup!$B$25:$B$29,0))+Setup!$C$11))</f>
        <v/>
      </c>
      <c r="AH123" s="93" t="str">
        <f>IF($R123&lt;&gt;"OK","",IF($F123&lt;=0,"",INT(IF($K123&lt;($F123*MAX(0,(Setup!$C$5-Setup!$C$7)-Setup!$C$4)),Setup!$C$4+$K123/$F123,IF($K123&lt;($F123*MAX(0,(Setup!$C$5-Setup!$C$7)-Setup!$C$4))+($F123*Setup!$C$8*MAX(0,Setup!$C$5-MAX((Setup!$C$5-Setup!$C$7),Setup!$C$4))),MAX((Setup!$C$5-Setup!$C$7),Setup!$C$4)+($K123-($F123*MAX(0,(Setup!$C$5-Setup!$C$7)-Setup!$C$4)))/($F123*Setup!$C$8),IF(AND($W123&gt;0,$K123&lt;($F123*MAX(0,(Setup!$C$5-Setup!$C$7)-Setup!$C$4))+($F123*Setup!$C$8*MAX(0,Setup!$C$5-MAX((Setup!$C$5-Setup!$C$7),Setup!$C$4)))+($W123/4*MAX(0,Setup!$C$5+4-MAX(Setup!$C$5,Setup!$C$4)))),MAX(Setup!$C$5,Setup!$C$4)+($K123-($F123*MAX(0,(Setup!$C$5-Setup!$C$7)-Setup!$C$4))-($F123*Setup!$C$8*MAX(0,Setup!$C$5-MAX((Setup!$C$5-Setup!$C$7),Setup!$C$4))))/($W123/4),MAX(Setup!$C$5+4,Setup!$C$4)+($K123-($F123*MAX(0,(Setup!$C$5-Setup!$C$7)-Setup!$C$4))-($F123*Setup!$C$8*MAX(0,Setup!$C$5-MAX((Setup!$C$5-Setup!$C$7),Setup!$C$4)))-($W123/4*MAX(0,Setup!$C$5+4-MAX(Setup!$C$5,Setup!$C$4))))/($F123*Setup!$C$14)))))))</f>
        <v/>
      </c>
      <c r="AI123" s="79" t="str">
        <f>IF($R123&lt;&gt;"OK","",IF(AND($L123&lt;&gt;"",$L123&gt;0,ISNUMBER($AH123),$M123&gt;$AH123),"Runs out before the incoming delivery arrives",IF($AB123=0,"OK",IF($K123+IF(AND($L123&lt;&gt;"",$L123&gt;0),IF($M123&lt;=$AG123,$L123,0),0)&lt;($F123*MAX(0,MIN($AG123,(Setup!$C$5-Setup!$C$7))-Setup!$C$4)+$F123*Setup!$C$8*MAX(0,MIN($AG123,Setup!$C$5)-MAX((Setup!$C$5-Setup!$C$7),Setup!$C$4))+$W123/4*MAX(0,MIN($AG123,Setup!$C$5+4)-MAX(Setup!$C$5,Setup!$C$4))+$F123*Setup!$C$14*MAX(0,$AG123-MAX(Setup!$C$5+4,Setup!$C$4))),"Runs out before this order can land","OK"))))</f>
        <v/>
      </c>
      <c r="AJ123" s="78" t="str">
        <f>IF($R123&lt;&gt;"OK","",IF($AB123=0,0,IF($AL123="Too slow: send it all fast",$AB123,$AR123)))</f>
        <v/>
      </c>
      <c r="AK123" s="78" t="str">
        <f>IF($R123&lt;&gt;"OK","",$AB123-$AJ123)</f>
        <v/>
      </c>
      <c r="AL123" s="78" t="str">
        <f>IF($R123&lt;&gt;"OK","",IF($AB123=0,"",IF($AB123-$AR123=0,"Nothing left over",IF($O123="Domestic",IF($AG123&lt;=Setup!$C$6+Setup!$C$20+1,"Later units can go by Domestic","Too slow: send it all fast"),IF($AS123+$N123+Setup!$C$25+Setup!$C$11&lt;=Setup!$C$6+Setup!$C$20+1,"Later units can go by Ocean long",IF($AS123+$N123+Setup!$C$26+Setup!$C$11&lt;=Setup!$C$6+Setup!$C$20+1,"Later units can go by Ocean short",IF($AS123+$N123+Setup!$C$27+Setup!$C$11&lt;=Setup!$C$6+Setup!$C$20+1,"Later units can go by Air",IF($AS123+$N123+Setup!$C$28+Setup!$C$11&lt;=Setup!$C$6+Setup!$C$20+1,"Later units can go by Express","Too slow: send it all fast"))))))))</f>
        <v/>
      </c>
      <c r="AM123" s="94" t="str">
        <f>IF($R123&lt;&gt;"OK","",$E123-$D123)</f>
        <v/>
      </c>
      <c r="AN123" s="95" t="str">
        <f>IF($R123&lt;&gt;"OK","",($E123-$D123)/$D123)</f>
        <v/>
      </c>
      <c r="AO123" s="95" t="str">
        <f>IF($R123&lt;&gt;"OK","",IF($AB123&gt;0,$AN123+IF($C123="Evergreen",1000,0),""))</f>
        <v/>
      </c>
      <c r="AP123" s="78" t="str">
        <f>IF(OR($R123&lt;&gt;"OK",$AO123=""),"",COUNTIF($AO$6:$AO$205,"&gt;"&amp;$AO123)+COUNTIF($AO$6:$AO123,$AO123))</f>
        <v/>
      </c>
      <c r="AQ123" s="78" t="str">
        <f>IF(OR($R123&lt;&gt;"OK",$AP123=""),"",INDEX('Buy list'!$G$5:$G$204,$AP123))</f>
        <v/>
      </c>
      <c r="AR123" s="78" t="str">
        <f>IF($R123&lt;&gt;"OK","",IF($AB123=0,0,MIN($AB123,CEILING(MAX(0,($F123*MAX(0,MIN((Setup!$C$6+1+Setup!$C$20),(Setup!$C$5-Setup!$C$7))-Setup!$C$4)+$F123*Setup!$C$8*MAX(0,MIN((Setup!$C$6+1+Setup!$C$20),Setup!$C$5)-MAX((Setup!$C$5-Setup!$C$7),Setup!$C$4))+$W123/4*MAX(0,MIN((Setup!$C$6+1+Setup!$C$20),Setup!$C$5+4)-MAX(Setup!$C$5,Setup!$C$4))+$F123*Setup!$C$14*MAX(0,(Setup!$C$6+1+Setup!$C$20)-MAX(Setup!$C$5+4,Setup!$C$4)))+$Y123-$K123-IF(AND($L123&lt;&gt;"",$L123&gt;0),IF($M123&lt;=Setup!$C$10,$L123,0),0)),IF(OR($P123="",$P123&lt;=0),1,$P123)))))</f>
        <v/>
      </c>
      <c r="AS123" s="96" t="str">
        <f>IF($R123&lt;&gt;"OK","",IF(AND($O123&lt;&gt;"Domestic",ISNUMBER(Setup!$C$22),Setup!$C$22&gt;Setup!$C$4),Setup!$C$22,Setup!$C$4))</f>
        <v/>
      </c>
      <c r="AT123" s="96" t="str">
        <f>IF($R123&lt;&gt;"OK","",IF($AB123=0,"",IF($O123="Domestic",$AG123,$AS123+$N123+Setup!$C$27+Setup!$C$11)))</f>
        <v/>
      </c>
    </row>
    <row r="124" ht="15" customHeight="1" s="46">
      <c r="A124" s="70" t="n"/>
      <c r="B124" s="70" t="n"/>
      <c r="C124" s="70" t="n"/>
      <c r="D124" s="85" t="n"/>
      <c r="E124" s="85" t="n"/>
      <c r="F124" s="86" t="n"/>
      <c r="G124" s="87" t="n"/>
      <c r="H124" s="88" t="n"/>
      <c r="I124" s="89" t="n"/>
      <c r="J124" s="90" t="n"/>
      <c r="K124" s="87" t="n"/>
      <c r="L124" s="87" t="n"/>
      <c r="M124" s="91" t="n"/>
      <c r="N124" s="92" t="n"/>
      <c r="O124" s="70" t="n"/>
      <c r="P124" s="92" t="n"/>
      <c r="Q124" s="87" t="n"/>
      <c r="R124" s="79" t="str">
        <f>IF($A124="","",IF($C124="","Missing: type",IF(OR($D124="",$D124&lt;=0),"Missing: unit cost",IF($E124="","Missing: unit price",IF($F124="","Missing: daily sales",IF($K124="","Missing: on hand",IF($N124="","Missing: production days",IF($O124="","Missing: freight mode",IF(ISNA(MATCH($O124,Setup!$B$25:$B$29,0)),"Unknown freight mode",IF(AND($L124&lt;&gt;"",$L124&gt;0,$M124=""),"Missing: on-order arrival date","OK"))))))))))</f>
        <v/>
      </c>
      <c r="S124" s="78" t="str">
        <f>IF($R124&lt;&gt;"OK","",IF($G124="","",ROUND($G124/IF(OR($H124="",$H124&lt;=0),4,$H124)*4,0)))</f>
        <v/>
      </c>
      <c r="T124" s="78" t="str">
        <f>IF($R124&lt;&gt;"OK","",ROUND(IF($G124="",$F124*4*Setup!$C$19,$G124/IF(OR($H124="",$H124&lt;=0),4,$H124)*4*(1+IF($I124="",Setup!$C$16,$I124)))*IF($J124="",1,$J124),0))</f>
        <v/>
      </c>
      <c r="U124" s="78" t="str">
        <f>IF($R124&lt;&gt;"OK","",ROUND($T124*Setup!$C$17,0))</f>
        <v/>
      </c>
      <c r="V124" s="78" t="str">
        <f>IF($R124&lt;&gt;"OK","",ROUND($T124*Setup!$C$18,0))</f>
        <v/>
      </c>
      <c r="W124" s="78" t="str">
        <f>IF($R124&lt;&gt;"OK","",IF($C124="Evergreen",$V124,IF($C124="Seasonal or new",$U124,$T124)))</f>
        <v/>
      </c>
      <c r="X124" s="78" t="str">
        <f>IF($R124&lt;&gt;"OK","",ROUND(($F124*MAX(0,MIN(Setup!$C$13+1,(Setup!$C$5-Setup!$C$7))-Setup!$C$4)+$F124*Setup!$C$8*MAX(0,MIN(Setup!$C$13+1,Setup!$C$5)-MAX((Setup!$C$5-Setup!$C$7),Setup!$C$4))+$W124/4*MAX(0,MIN(Setup!$C$13+1,Setup!$C$5+4)-MAX(Setup!$C$5,Setup!$C$4))+$F124*Setup!$C$14*MAX(0,Setup!$C$13+1-MAX(Setup!$C$5+4,Setup!$C$4))),0))</f>
        <v/>
      </c>
      <c r="Y124" s="78" t="str">
        <f>IF($R124&lt;&gt;"OK","",ROUND($F124*Setup!$C$15,0))</f>
        <v/>
      </c>
      <c r="Z124" s="78" t="str">
        <f>IF($R124&lt;&gt;"OK","",IF(AND($L124&lt;&gt;"",$L124&gt;0),IF($M124&lt;=Setup!$C$13,$L124,0),0))</f>
        <v/>
      </c>
      <c r="AA124" s="78" t="str">
        <f>IF($R124&lt;&gt;"OK","",MAX(0,$X124+$Y124-$K124-$Z124))</f>
        <v/>
      </c>
      <c r="AB124" s="78" t="str">
        <f>IF($R124&lt;&gt;"OK","",IF($AA124=0,0,CEILING(MAX($AA124,IF($Q124="",0,$Q124)),IF(OR($P124="",$P124&lt;=0),1,$P124))))</f>
        <v/>
      </c>
      <c r="AC124" s="78" t="str">
        <f>IF($R124&lt;&gt;"OK","",$AB124*$D124)</f>
        <v/>
      </c>
      <c r="AD124" s="93" t="str">
        <f>IF($R124&lt;&gt;"OK","",INDEX(Setup!$D$25:$D$29,MATCH($O124,Setup!$B$25:$B$29,0)))</f>
        <v/>
      </c>
      <c r="AE124" s="93" t="str">
        <f>IF($R124&lt;&gt;"OK","",$AD124-$N124)</f>
        <v/>
      </c>
      <c r="AF124" s="79" t="str">
        <f>IF($R124&lt;&gt;"OK","",IF($AB124=0,"No order needed",IF($AE124&gt;=$AS124,"Order by the deadline",IF(AND($O124&lt;&gt;"Domestic",Setup!$D$27-$N124&gt;=$AS124),"Late by this mode: fly it",IF(Setup!$D$28-$N124&gt;=$AS124,"Late: Express courier only",IF($AG124&lt;Setup!$C$5,"Tight: lands before Black Friday",IF(AND($O124&lt;&gt;"Domestic",$AT124&lt;Setup!$C$5),"Tight: by Air lands before Black Friday",IF($AS124+$N124+Setup!$C$28+Setup!$C$11&lt;Setup!$C$5,"Tight: by Express lands before Black Friday","Too late: ration"))))))))</f>
        <v/>
      </c>
      <c r="AG124" s="93" t="str">
        <f>IF($R124&lt;&gt;"OK","",IF($AB124=0,"",$AS124+$N124+INDEX(Setup!$C$25:$C$29,MATCH($O124,Setup!$B$25:$B$29,0))+Setup!$C$11))</f>
        <v/>
      </c>
      <c r="AH124" s="93" t="str">
        <f>IF($R124&lt;&gt;"OK","",IF($F124&lt;=0,"",INT(IF($K124&lt;($F124*MAX(0,(Setup!$C$5-Setup!$C$7)-Setup!$C$4)),Setup!$C$4+$K124/$F124,IF($K124&lt;($F124*MAX(0,(Setup!$C$5-Setup!$C$7)-Setup!$C$4))+($F124*Setup!$C$8*MAX(0,Setup!$C$5-MAX((Setup!$C$5-Setup!$C$7),Setup!$C$4))),MAX((Setup!$C$5-Setup!$C$7),Setup!$C$4)+($K124-($F124*MAX(0,(Setup!$C$5-Setup!$C$7)-Setup!$C$4)))/($F124*Setup!$C$8),IF(AND($W124&gt;0,$K124&lt;($F124*MAX(0,(Setup!$C$5-Setup!$C$7)-Setup!$C$4))+($F124*Setup!$C$8*MAX(0,Setup!$C$5-MAX((Setup!$C$5-Setup!$C$7),Setup!$C$4)))+($W124/4*MAX(0,Setup!$C$5+4-MAX(Setup!$C$5,Setup!$C$4)))),MAX(Setup!$C$5,Setup!$C$4)+($K124-($F124*MAX(0,(Setup!$C$5-Setup!$C$7)-Setup!$C$4))-($F124*Setup!$C$8*MAX(0,Setup!$C$5-MAX((Setup!$C$5-Setup!$C$7),Setup!$C$4))))/($W124/4),MAX(Setup!$C$5+4,Setup!$C$4)+($K124-($F124*MAX(0,(Setup!$C$5-Setup!$C$7)-Setup!$C$4))-($F124*Setup!$C$8*MAX(0,Setup!$C$5-MAX((Setup!$C$5-Setup!$C$7),Setup!$C$4)))-($W124/4*MAX(0,Setup!$C$5+4-MAX(Setup!$C$5,Setup!$C$4))))/($F124*Setup!$C$14)))))))</f>
        <v/>
      </c>
      <c r="AI124" s="79" t="str">
        <f>IF($R124&lt;&gt;"OK","",IF(AND($L124&lt;&gt;"",$L124&gt;0,ISNUMBER($AH124),$M124&gt;$AH124),"Runs out before the incoming delivery arrives",IF($AB124=0,"OK",IF($K124+IF(AND($L124&lt;&gt;"",$L124&gt;0),IF($M124&lt;=$AG124,$L124,0),0)&lt;($F124*MAX(0,MIN($AG124,(Setup!$C$5-Setup!$C$7))-Setup!$C$4)+$F124*Setup!$C$8*MAX(0,MIN($AG124,Setup!$C$5)-MAX((Setup!$C$5-Setup!$C$7),Setup!$C$4))+$W124/4*MAX(0,MIN($AG124,Setup!$C$5+4)-MAX(Setup!$C$5,Setup!$C$4))+$F124*Setup!$C$14*MAX(0,$AG124-MAX(Setup!$C$5+4,Setup!$C$4))),"Runs out before this order can land","OK"))))</f>
        <v/>
      </c>
      <c r="AJ124" s="78" t="str">
        <f>IF($R124&lt;&gt;"OK","",IF($AB124=0,0,IF($AL124="Too slow: send it all fast",$AB124,$AR124)))</f>
        <v/>
      </c>
      <c r="AK124" s="78" t="str">
        <f>IF($R124&lt;&gt;"OK","",$AB124-$AJ124)</f>
        <v/>
      </c>
      <c r="AL124" s="78" t="str">
        <f>IF($R124&lt;&gt;"OK","",IF($AB124=0,"",IF($AB124-$AR124=0,"Nothing left over",IF($O124="Domestic",IF($AG124&lt;=Setup!$C$6+Setup!$C$20+1,"Later units can go by Domestic","Too slow: send it all fast"),IF($AS124+$N124+Setup!$C$25+Setup!$C$11&lt;=Setup!$C$6+Setup!$C$20+1,"Later units can go by Ocean long",IF($AS124+$N124+Setup!$C$26+Setup!$C$11&lt;=Setup!$C$6+Setup!$C$20+1,"Later units can go by Ocean short",IF($AS124+$N124+Setup!$C$27+Setup!$C$11&lt;=Setup!$C$6+Setup!$C$20+1,"Later units can go by Air",IF($AS124+$N124+Setup!$C$28+Setup!$C$11&lt;=Setup!$C$6+Setup!$C$20+1,"Later units can go by Express","Too slow: send it all fast"))))))))</f>
        <v/>
      </c>
      <c r="AM124" s="94" t="str">
        <f>IF($R124&lt;&gt;"OK","",$E124-$D124)</f>
        <v/>
      </c>
      <c r="AN124" s="95" t="str">
        <f>IF($R124&lt;&gt;"OK","",($E124-$D124)/$D124)</f>
        <v/>
      </c>
      <c r="AO124" s="95" t="str">
        <f>IF($R124&lt;&gt;"OK","",IF($AB124&gt;0,$AN124+IF($C124="Evergreen",1000,0),""))</f>
        <v/>
      </c>
      <c r="AP124" s="78" t="str">
        <f>IF(OR($R124&lt;&gt;"OK",$AO124=""),"",COUNTIF($AO$6:$AO$205,"&gt;"&amp;$AO124)+COUNTIF($AO$6:$AO124,$AO124))</f>
        <v/>
      </c>
      <c r="AQ124" s="78" t="str">
        <f>IF(OR($R124&lt;&gt;"OK",$AP124=""),"",INDEX('Buy list'!$G$5:$G$204,$AP124))</f>
        <v/>
      </c>
      <c r="AR124" s="78" t="str">
        <f>IF($R124&lt;&gt;"OK","",IF($AB124=0,0,MIN($AB124,CEILING(MAX(0,($F124*MAX(0,MIN((Setup!$C$6+1+Setup!$C$20),(Setup!$C$5-Setup!$C$7))-Setup!$C$4)+$F124*Setup!$C$8*MAX(0,MIN((Setup!$C$6+1+Setup!$C$20),Setup!$C$5)-MAX((Setup!$C$5-Setup!$C$7),Setup!$C$4))+$W124/4*MAX(0,MIN((Setup!$C$6+1+Setup!$C$20),Setup!$C$5+4)-MAX(Setup!$C$5,Setup!$C$4))+$F124*Setup!$C$14*MAX(0,(Setup!$C$6+1+Setup!$C$20)-MAX(Setup!$C$5+4,Setup!$C$4)))+$Y124-$K124-IF(AND($L124&lt;&gt;"",$L124&gt;0),IF($M124&lt;=Setup!$C$10,$L124,0),0)),IF(OR($P124="",$P124&lt;=0),1,$P124)))))</f>
        <v/>
      </c>
      <c r="AS124" s="96" t="str">
        <f>IF($R124&lt;&gt;"OK","",IF(AND($O124&lt;&gt;"Domestic",ISNUMBER(Setup!$C$22),Setup!$C$22&gt;Setup!$C$4),Setup!$C$22,Setup!$C$4))</f>
        <v/>
      </c>
      <c r="AT124" s="96" t="str">
        <f>IF($R124&lt;&gt;"OK","",IF($AB124=0,"",IF($O124="Domestic",$AG124,$AS124+$N124+Setup!$C$27+Setup!$C$11)))</f>
        <v/>
      </c>
    </row>
    <row r="125" ht="15" customHeight="1" s="46">
      <c r="A125" s="70" t="n"/>
      <c r="B125" s="70" t="n"/>
      <c r="C125" s="70" t="n"/>
      <c r="D125" s="85" t="n"/>
      <c r="E125" s="85" t="n"/>
      <c r="F125" s="86" t="n"/>
      <c r="G125" s="87" t="n"/>
      <c r="H125" s="88" t="n"/>
      <c r="I125" s="89" t="n"/>
      <c r="J125" s="90" t="n"/>
      <c r="K125" s="87" t="n"/>
      <c r="L125" s="87" t="n"/>
      <c r="M125" s="91" t="n"/>
      <c r="N125" s="92" t="n"/>
      <c r="O125" s="70" t="n"/>
      <c r="P125" s="92" t="n"/>
      <c r="Q125" s="87" t="n"/>
      <c r="R125" s="79" t="str">
        <f>IF($A125="","",IF($C125="","Missing: type",IF(OR($D125="",$D125&lt;=0),"Missing: unit cost",IF($E125="","Missing: unit price",IF($F125="","Missing: daily sales",IF($K125="","Missing: on hand",IF($N125="","Missing: production days",IF($O125="","Missing: freight mode",IF(ISNA(MATCH($O125,Setup!$B$25:$B$29,0)),"Unknown freight mode",IF(AND($L125&lt;&gt;"",$L125&gt;0,$M125=""),"Missing: on-order arrival date","OK"))))))))))</f>
        <v/>
      </c>
      <c r="S125" s="78" t="str">
        <f>IF($R125&lt;&gt;"OK","",IF($G125="","",ROUND($G125/IF(OR($H125="",$H125&lt;=0),4,$H125)*4,0)))</f>
        <v/>
      </c>
      <c r="T125" s="78" t="str">
        <f>IF($R125&lt;&gt;"OK","",ROUND(IF($G125="",$F125*4*Setup!$C$19,$G125/IF(OR($H125="",$H125&lt;=0),4,$H125)*4*(1+IF($I125="",Setup!$C$16,$I125)))*IF($J125="",1,$J125),0))</f>
        <v/>
      </c>
      <c r="U125" s="78" t="str">
        <f>IF($R125&lt;&gt;"OK","",ROUND($T125*Setup!$C$17,0))</f>
        <v/>
      </c>
      <c r="V125" s="78" t="str">
        <f>IF($R125&lt;&gt;"OK","",ROUND($T125*Setup!$C$18,0))</f>
        <v/>
      </c>
      <c r="W125" s="78" t="str">
        <f>IF($R125&lt;&gt;"OK","",IF($C125="Evergreen",$V125,IF($C125="Seasonal or new",$U125,$T125)))</f>
        <v/>
      </c>
      <c r="X125" s="78" t="str">
        <f>IF($R125&lt;&gt;"OK","",ROUND(($F125*MAX(0,MIN(Setup!$C$13+1,(Setup!$C$5-Setup!$C$7))-Setup!$C$4)+$F125*Setup!$C$8*MAX(0,MIN(Setup!$C$13+1,Setup!$C$5)-MAX((Setup!$C$5-Setup!$C$7),Setup!$C$4))+$W125/4*MAX(0,MIN(Setup!$C$13+1,Setup!$C$5+4)-MAX(Setup!$C$5,Setup!$C$4))+$F125*Setup!$C$14*MAX(0,Setup!$C$13+1-MAX(Setup!$C$5+4,Setup!$C$4))),0))</f>
        <v/>
      </c>
      <c r="Y125" s="78" t="str">
        <f>IF($R125&lt;&gt;"OK","",ROUND($F125*Setup!$C$15,0))</f>
        <v/>
      </c>
      <c r="Z125" s="78" t="str">
        <f>IF($R125&lt;&gt;"OK","",IF(AND($L125&lt;&gt;"",$L125&gt;0),IF($M125&lt;=Setup!$C$13,$L125,0),0))</f>
        <v/>
      </c>
      <c r="AA125" s="78" t="str">
        <f>IF($R125&lt;&gt;"OK","",MAX(0,$X125+$Y125-$K125-$Z125))</f>
        <v/>
      </c>
      <c r="AB125" s="78" t="str">
        <f>IF($R125&lt;&gt;"OK","",IF($AA125=0,0,CEILING(MAX($AA125,IF($Q125="",0,$Q125)),IF(OR($P125="",$P125&lt;=0),1,$P125))))</f>
        <v/>
      </c>
      <c r="AC125" s="78" t="str">
        <f>IF($R125&lt;&gt;"OK","",$AB125*$D125)</f>
        <v/>
      </c>
      <c r="AD125" s="93" t="str">
        <f>IF($R125&lt;&gt;"OK","",INDEX(Setup!$D$25:$D$29,MATCH($O125,Setup!$B$25:$B$29,0)))</f>
        <v/>
      </c>
      <c r="AE125" s="93" t="str">
        <f>IF($R125&lt;&gt;"OK","",$AD125-$N125)</f>
        <v/>
      </c>
      <c r="AF125" s="79" t="str">
        <f>IF($R125&lt;&gt;"OK","",IF($AB125=0,"No order needed",IF($AE125&gt;=$AS125,"Order by the deadline",IF(AND($O125&lt;&gt;"Domestic",Setup!$D$27-$N125&gt;=$AS125),"Late by this mode: fly it",IF(Setup!$D$28-$N125&gt;=$AS125,"Late: Express courier only",IF($AG125&lt;Setup!$C$5,"Tight: lands before Black Friday",IF(AND($O125&lt;&gt;"Domestic",$AT125&lt;Setup!$C$5),"Tight: by Air lands before Black Friday",IF($AS125+$N125+Setup!$C$28+Setup!$C$11&lt;Setup!$C$5,"Tight: by Express lands before Black Friday","Too late: ration"))))))))</f>
        <v/>
      </c>
      <c r="AG125" s="93" t="str">
        <f>IF($R125&lt;&gt;"OK","",IF($AB125=0,"",$AS125+$N125+INDEX(Setup!$C$25:$C$29,MATCH($O125,Setup!$B$25:$B$29,0))+Setup!$C$11))</f>
        <v/>
      </c>
      <c r="AH125" s="93" t="str">
        <f>IF($R125&lt;&gt;"OK","",IF($F125&lt;=0,"",INT(IF($K125&lt;($F125*MAX(0,(Setup!$C$5-Setup!$C$7)-Setup!$C$4)),Setup!$C$4+$K125/$F125,IF($K125&lt;($F125*MAX(0,(Setup!$C$5-Setup!$C$7)-Setup!$C$4))+($F125*Setup!$C$8*MAX(0,Setup!$C$5-MAX((Setup!$C$5-Setup!$C$7),Setup!$C$4))),MAX((Setup!$C$5-Setup!$C$7),Setup!$C$4)+($K125-($F125*MAX(0,(Setup!$C$5-Setup!$C$7)-Setup!$C$4)))/($F125*Setup!$C$8),IF(AND($W125&gt;0,$K125&lt;($F125*MAX(0,(Setup!$C$5-Setup!$C$7)-Setup!$C$4))+($F125*Setup!$C$8*MAX(0,Setup!$C$5-MAX((Setup!$C$5-Setup!$C$7),Setup!$C$4)))+($W125/4*MAX(0,Setup!$C$5+4-MAX(Setup!$C$5,Setup!$C$4)))),MAX(Setup!$C$5,Setup!$C$4)+($K125-($F125*MAX(0,(Setup!$C$5-Setup!$C$7)-Setup!$C$4))-($F125*Setup!$C$8*MAX(0,Setup!$C$5-MAX((Setup!$C$5-Setup!$C$7),Setup!$C$4))))/($W125/4),MAX(Setup!$C$5+4,Setup!$C$4)+($K125-($F125*MAX(0,(Setup!$C$5-Setup!$C$7)-Setup!$C$4))-($F125*Setup!$C$8*MAX(0,Setup!$C$5-MAX((Setup!$C$5-Setup!$C$7),Setup!$C$4)))-($W125/4*MAX(0,Setup!$C$5+4-MAX(Setup!$C$5,Setup!$C$4))))/($F125*Setup!$C$14)))))))</f>
        <v/>
      </c>
      <c r="AI125" s="79" t="str">
        <f>IF($R125&lt;&gt;"OK","",IF(AND($L125&lt;&gt;"",$L125&gt;0,ISNUMBER($AH125),$M125&gt;$AH125),"Runs out before the incoming delivery arrives",IF($AB125=0,"OK",IF($K125+IF(AND($L125&lt;&gt;"",$L125&gt;0),IF($M125&lt;=$AG125,$L125,0),0)&lt;($F125*MAX(0,MIN($AG125,(Setup!$C$5-Setup!$C$7))-Setup!$C$4)+$F125*Setup!$C$8*MAX(0,MIN($AG125,Setup!$C$5)-MAX((Setup!$C$5-Setup!$C$7),Setup!$C$4))+$W125/4*MAX(0,MIN($AG125,Setup!$C$5+4)-MAX(Setup!$C$5,Setup!$C$4))+$F125*Setup!$C$14*MAX(0,$AG125-MAX(Setup!$C$5+4,Setup!$C$4))),"Runs out before this order can land","OK"))))</f>
        <v/>
      </c>
      <c r="AJ125" s="78" t="str">
        <f>IF($R125&lt;&gt;"OK","",IF($AB125=0,0,IF($AL125="Too slow: send it all fast",$AB125,$AR125)))</f>
        <v/>
      </c>
      <c r="AK125" s="78" t="str">
        <f>IF($R125&lt;&gt;"OK","",$AB125-$AJ125)</f>
        <v/>
      </c>
      <c r="AL125" s="78" t="str">
        <f>IF($R125&lt;&gt;"OK","",IF($AB125=0,"",IF($AB125-$AR125=0,"Nothing left over",IF($O125="Domestic",IF($AG125&lt;=Setup!$C$6+Setup!$C$20+1,"Later units can go by Domestic","Too slow: send it all fast"),IF($AS125+$N125+Setup!$C$25+Setup!$C$11&lt;=Setup!$C$6+Setup!$C$20+1,"Later units can go by Ocean long",IF($AS125+$N125+Setup!$C$26+Setup!$C$11&lt;=Setup!$C$6+Setup!$C$20+1,"Later units can go by Ocean short",IF($AS125+$N125+Setup!$C$27+Setup!$C$11&lt;=Setup!$C$6+Setup!$C$20+1,"Later units can go by Air",IF($AS125+$N125+Setup!$C$28+Setup!$C$11&lt;=Setup!$C$6+Setup!$C$20+1,"Later units can go by Express","Too slow: send it all fast"))))))))</f>
        <v/>
      </c>
      <c r="AM125" s="94" t="str">
        <f>IF($R125&lt;&gt;"OK","",$E125-$D125)</f>
        <v/>
      </c>
      <c r="AN125" s="95" t="str">
        <f>IF($R125&lt;&gt;"OK","",($E125-$D125)/$D125)</f>
        <v/>
      </c>
      <c r="AO125" s="95" t="str">
        <f>IF($R125&lt;&gt;"OK","",IF($AB125&gt;0,$AN125+IF($C125="Evergreen",1000,0),""))</f>
        <v/>
      </c>
      <c r="AP125" s="78" t="str">
        <f>IF(OR($R125&lt;&gt;"OK",$AO125=""),"",COUNTIF($AO$6:$AO$205,"&gt;"&amp;$AO125)+COUNTIF($AO$6:$AO125,$AO125))</f>
        <v/>
      </c>
      <c r="AQ125" s="78" t="str">
        <f>IF(OR($R125&lt;&gt;"OK",$AP125=""),"",INDEX('Buy list'!$G$5:$G$204,$AP125))</f>
        <v/>
      </c>
      <c r="AR125" s="78" t="str">
        <f>IF($R125&lt;&gt;"OK","",IF($AB125=0,0,MIN($AB125,CEILING(MAX(0,($F125*MAX(0,MIN((Setup!$C$6+1+Setup!$C$20),(Setup!$C$5-Setup!$C$7))-Setup!$C$4)+$F125*Setup!$C$8*MAX(0,MIN((Setup!$C$6+1+Setup!$C$20),Setup!$C$5)-MAX((Setup!$C$5-Setup!$C$7),Setup!$C$4))+$W125/4*MAX(0,MIN((Setup!$C$6+1+Setup!$C$20),Setup!$C$5+4)-MAX(Setup!$C$5,Setup!$C$4))+$F125*Setup!$C$14*MAX(0,(Setup!$C$6+1+Setup!$C$20)-MAX(Setup!$C$5+4,Setup!$C$4)))+$Y125-$K125-IF(AND($L125&lt;&gt;"",$L125&gt;0),IF($M125&lt;=Setup!$C$10,$L125,0),0)),IF(OR($P125="",$P125&lt;=0),1,$P125)))))</f>
        <v/>
      </c>
      <c r="AS125" s="96" t="str">
        <f>IF($R125&lt;&gt;"OK","",IF(AND($O125&lt;&gt;"Domestic",ISNUMBER(Setup!$C$22),Setup!$C$22&gt;Setup!$C$4),Setup!$C$22,Setup!$C$4))</f>
        <v/>
      </c>
      <c r="AT125" s="96" t="str">
        <f>IF($R125&lt;&gt;"OK","",IF($AB125=0,"",IF($O125="Domestic",$AG125,$AS125+$N125+Setup!$C$27+Setup!$C$11)))</f>
        <v/>
      </c>
    </row>
    <row r="126" ht="15" customHeight="1" s="46">
      <c r="A126" s="70" t="n"/>
      <c r="B126" s="70" t="n"/>
      <c r="C126" s="70" t="n"/>
      <c r="D126" s="85" t="n"/>
      <c r="E126" s="85" t="n"/>
      <c r="F126" s="86" t="n"/>
      <c r="G126" s="87" t="n"/>
      <c r="H126" s="88" t="n"/>
      <c r="I126" s="89" t="n"/>
      <c r="J126" s="90" t="n"/>
      <c r="K126" s="87" t="n"/>
      <c r="L126" s="87" t="n"/>
      <c r="M126" s="91" t="n"/>
      <c r="N126" s="92" t="n"/>
      <c r="O126" s="70" t="n"/>
      <c r="P126" s="92" t="n"/>
      <c r="Q126" s="87" t="n"/>
      <c r="R126" s="79" t="str">
        <f>IF($A126="","",IF($C126="","Missing: type",IF(OR($D126="",$D126&lt;=0),"Missing: unit cost",IF($E126="","Missing: unit price",IF($F126="","Missing: daily sales",IF($K126="","Missing: on hand",IF($N126="","Missing: production days",IF($O126="","Missing: freight mode",IF(ISNA(MATCH($O126,Setup!$B$25:$B$29,0)),"Unknown freight mode",IF(AND($L126&lt;&gt;"",$L126&gt;0,$M126=""),"Missing: on-order arrival date","OK"))))))))))</f>
        <v/>
      </c>
      <c r="S126" s="78" t="str">
        <f>IF($R126&lt;&gt;"OK","",IF($G126="","",ROUND($G126/IF(OR($H126="",$H126&lt;=0),4,$H126)*4,0)))</f>
        <v/>
      </c>
      <c r="T126" s="78" t="str">
        <f>IF($R126&lt;&gt;"OK","",ROUND(IF($G126="",$F126*4*Setup!$C$19,$G126/IF(OR($H126="",$H126&lt;=0),4,$H126)*4*(1+IF($I126="",Setup!$C$16,$I126)))*IF($J126="",1,$J126),0))</f>
        <v/>
      </c>
      <c r="U126" s="78" t="str">
        <f>IF($R126&lt;&gt;"OK","",ROUND($T126*Setup!$C$17,0))</f>
        <v/>
      </c>
      <c r="V126" s="78" t="str">
        <f>IF($R126&lt;&gt;"OK","",ROUND($T126*Setup!$C$18,0))</f>
        <v/>
      </c>
      <c r="W126" s="78" t="str">
        <f>IF($R126&lt;&gt;"OK","",IF($C126="Evergreen",$V126,IF($C126="Seasonal or new",$U126,$T126)))</f>
        <v/>
      </c>
      <c r="X126" s="78" t="str">
        <f>IF($R126&lt;&gt;"OK","",ROUND(($F126*MAX(0,MIN(Setup!$C$13+1,(Setup!$C$5-Setup!$C$7))-Setup!$C$4)+$F126*Setup!$C$8*MAX(0,MIN(Setup!$C$13+1,Setup!$C$5)-MAX((Setup!$C$5-Setup!$C$7),Setup!$C$4))+$W126/4*MAX(0,MIN(Setup!$C$13+1,Setup!$C$5+4)-MAX(Setup!$C$5,Setup!$C$4))+$F126*Setup!$C$14*MAX(0,Setup!$C$13+1-MAX(Setup!$C$5+4,Setup!$C$4))),0))</f>
        <v/>
      </c>
      <c r="Y126" s="78" t="str">
        <f>IF($R126&lt;&gt;"OK","",ROUND($F126*Setup!$C$15,0))</f>
        <v/>
      </c>
      <c r="Z126" s="78" t="str">
        <f>IF($R126&lt;&gt;"OK","",IF(AND($L126&lt;&gt;"",$L126&gt;0),IF($M126&lt;=Setup!$C$13,$L126,0),0))</f>
        <v/>
      </c>
      <c r="AA126" s="78" t="str">
        <f>IF($R126&lt;&gt;"OK","",MAX(0,$X126+$Y126-$K126-$Z126))</f>
        <v/>
      </c>
      <c r="AB126" s="78" t="str">
        <f>IF($R126&lt;&gt;"OK","",IF($AA126=0,0,CEILING(MAX($AA126,IF($Q126="",0,$Q126)),IF(OR($P126="",$P126&lt;=0),1,$P126))))</f>
        <v/>
      </c>
      <c r="AC126" s="78" t="str">
        <f>IF($R126&lt;&gt;"OK","",$AB126*$D126)</f>
        <v/>
      </c>
      <c r="AD126" s="93" t="str">
        <f>IF($R126&lt;&gt;"OK","",INDEX(Setup!$D$25:$D$29,MATCH($O126,Setup!$B$25:$B$29,0)))</f>
        <v/>
      </c>
      <c r="AE126" s="93" t="str">
        <f>IF($R126&lt;&gt;"OK","",$AD126-$N126)</f>
        <v/>
      </c>
      <c r="AF126" s="79" t="str">
        <f>IF($R126&lt;&gt;"OK","",IF($AB126=0,"No order needed",IF($AE126&gt;=$AS126,"Order by the deadline",IF(AND($O126&lt;&gt;"Domestic",Setup!$D$27-$N126&gt;=$AS126),"Late by this mode: fly it",IF(Setup!$D$28-$N126&gt;=$AS126,"Late: Express courier only",IF($AG126&lt;Setup!$C$5,"Tight: lands before Black Friday",IF(AND($O126&lt;&gt;"Domestic",$AT126&lt;Setup!$C$5),"Tight: by Air lands before Black Friday",IF($AS126+$N126+Setup!$C$28+Setup!$C$11&lt;Setup!$C$5,"Tight: by Express lands before Black Friday","Too late: ration"))))))))</f>
        <v/>
      </c>
      <c r="AG126" s="93" t="str">
        <f>IF($R126&lt;&gt;"OK","",IF($AB126=0,"",$AS126+$N126+INDEX(Setup!$C$25:$C$29,MATCH($O126,Setup!$B$25:$B$29,0))+Setup!$C$11))</f>
        <v/>
      </c>
      <c r="AH126" s="93" t="str">
        <f>IF($R126&lt;&gt;"OK","",IF($F126&lt;=0,"",INT(IF($K126&lt;($F126*MAX(0,(Setup!$C$5-Setup!$C$7)-Setup!$C$4)),Setup!$C$4+$K126/$F126,IF($K126&lt;($F126*MAX(0,(Setup!$C$5-Setup!$C$7)-Setup!$C$4))+($F126*Setup!$C$8*MAX(0,Setup!$C$5-MAX((Setup!$C$5-Setup!$C$7),Setup!$C$4))),MAX((Setup!$C$5-Setup!$C$7),Setup!$C$4)+($K126-($F126*MAX(0,(Setup!$C$5-Setup!$C$7)-Setup!$C$4)))/($F126*Setup!$C$8),IF(AND($W126&gt;0,$K126&lt;($F126*MAX(0,(Setup!$C$5-Setup!$C$7)-Setup!$C$4))+($F126*Setup!$C$8*MAX(0,Setup!$C$5-MAX((Setup!$C$5-Setup!$C$7),Setup!$C$4)))+($W126/4*MAX(0,Setup!$C$5+4-MAX(Setup!$C$5,Setup!$C$4)))),MAX(Setup!$C$5,Setup!$C$4)+($K126-($F126*MAX(0,(Setup!$C$5-Setup!$C$7)-Setup!$C$4))-($F126*Setup!$C$8*MAX(0,Setup!$C$5-MAX((Setup!$C$5-Setup!$C$7),Setup!$C$4))))/($W126/4),MAX(Setup!$C$5+4,Setup!$C$4)+($K126-($F126*MAX(0,(Setup!$C$5-Setup!$C$7)-Setup!$C$4))-($F126*Setup!$C$8*MAX(0,Setup!$C$5-MAX((Setup!$C$5-Setup!$C$7),Setup!$C$4)))-($W126/4*MAX(0,Setup!$C$5+4-MAX(Setup!$C$5,Setup!$C$4))))/($F126*Setup!$C$14)))))))</f>
        <v/>
      </c>
      <c r="AI126" s="79" t="str">
        <f>IF($R126&lt;&gt;"OK","",IF(AND($L126&lt;&gt;"",$L126&gt;0,ISNUMBER($AH126),$M126&gt;$AH126),"Runs out before the incoming delivery arrives",IF($AB126=0,"OK",IF($K126+IF(AND($L126&lt;&gt;"",$L126&gt;0),IF($M126&lt;=$AG126,$L126,0),0)&lt;($F126*MAX(0,MIN($AG126,(Setup!$C$5-Setup!$C$7))-Setup!$C$4)+$F126*Setup!$C$8*MAX(0,MIN($AG126,Setup!$C$5)-MAX((Setup!$C$5-Setup!$C$7),Setup!$C$4))+$W126/4*MAX(0,MIN($AG126,Setup!$C$5+4)-MAX(Setup!$C$5,Setup!$C$4))+$F126*Setup!$C$14*MAX(0,$AG126-MAX(Setup!$C$5+4,Setup!$C$4))),"Runs out before this order can land","OK"))))</f>
        <v/>
      </c>
      <c r="AJ126" s="78" t="str">
        <f>IF($R126&lt;&gt;"OK","",IF($AB126=0,0,IF($AL126="Too slow: send it all fast",$AB126,$AR126)))</f>
        <v/>
      </c>
      <c r="AK126" s="78" t="str">
        <f>IF($R126&lt;&gt;"OK","",$AB126-$AJ126)</f>
        <v/>
      </c>
      <c r="AL126" s="78" t="str">
        <f>IF($R126&lt;&gt;"OK","",IF($AB126=0,"",IF($AB126-$AR126=0,"Nothing left over",IF($O126="Domestic",IF($AG126&lt;=Setup!$C$6+Setup!$C$20+1,"Later units can go by Domestic","Too slow: send it all fast"),IF($AS126+$N126+Setup!$C$25+Setup!$C$11&lt;=Setup!$C$6+Setup!$C$20+1,"Later units can go by Ocean long",IF($AS126+$N126+Setup!$C$26+Setup!$C$11&lt;=Setup!$C$6+Setup!$C$20+1,"Later units can go by Ocean short",IF($AS126+$N126+Setup!$C$27+Setup!$C$11&lt;=Setup!$C$6+Setup!$C$20+1,"Later units can go by Air",IF($AS126+$N126+Setup!$C$28+Setup!$C$11&lt;=Setup!$C$6+Setup!$C$20+1,"Later units can go by Express","Too slow: send it all fast"))))))))</f>
        <v/>
      </c>
      <c r="AM126" s="94" t="str">
        <f>IF($R126&lt;&gt;"OK","",$E126-$D126)</f>
        <v/>
      </c>
      <c r="AN126" s="95" t="str">
        <f>IF($R126&lt;&gt;"OK","",($E126-$D126)/$D126)</f>
        <v/>
      </c>
      <c r="AO126" s="95" t="str">
        <f>IF($R126&lt;&gt;"OK","",IF($AB126&gt;0,$AN126+IF($C126="Evergreen",1000,0),""))</f>
        <v/>
      </c>
      <c r="AP126" s="78" t="str">
        <f>IF(OR($R126&lt;&gt;"OK",$AO126=""),"",COUNTIF($AO$6:$AO$205,"&gt;"&amp;$AO126)+COUNTIF($AO$6:$AO126,$AO126))</f>
        <v/>
      </c>
      <c r="AQ126" s="78" t="str">
        <f>IF(OR($R126&lt;&gt;"OK",$AP126=""),"",INDEX('Buy list'!$G$5:$G$204,$AP126))</f>
        <v/>
      </c>
      <c r="AR126" s="78" t="str">
        <f>IF($R126&lt;&gt;"OK","",IF($AB126=0,0,MIN($AB126,CEILING(MAX(0,($F126*MAX(0,MIN((Setup!$C$6+1+Setup!$C$20),(Setup!$C$5-Setup!$C$7))-Setup!$C$4)+$F126*Setup!$C$8*MAX(0,MIN((Setup!$C$6+1+Setup!$C$20),Setup!$C$5)-MAX((Setup!$C$5-Setup!$C$7),Setup!$C$4))+$W126/4*MAX(0,MIN((Setup!$C$6+1+Setup!$C$20),Setup!$C$5+4)-MAX(Setup!$C$5,Setup!$C$4))+$F126*Setup!$C$14*MAX(0,(Setup!$C$6+1+Setup!$C$20)-MAX(Setup!$C$5+4,Setup!$C$4)))+$Y126-$K126-IF(AND($L126&lt;&gt;"",$L126&gt;0),IF($M126&lt;=Setup!$C$10,$L126,0),0)),IF(OR($P126="",$P126&lt;=0),1,$P126)))))</f>
        <v/>
      </c>
      <c r="AS126" s="96" t="str">
        <f>IF($R126&lt;&gt;"OK","",IF(AND($O126&lt;&gt;"Domestic",ISNUMBER(Setup!$C$22),Setup!$C$22&gt;Setup!$C$4),Setup!$C$22,Setup!$C$4))</f>
        <v/>
      </c>
      <c r="AT126" s="96" t="str">
        <f>IF($R126&lt;&gt;"OK","",IF($AB126=0,"",IF($O126="Domestic",$AG126,$AS126+$N126+Setup!$C$27+Setup!$C$11)))</f>
        <v/>
      </c>
    </row>
    <row r="127" ht="15" customHeight="1" s="46">
      <c r="A127" s="70" t="n"/>
      <c r="B127" s="70" t="n"/>
      <c r="C127" s="70" t="n"/>
      <c r="D127" s="85" t="n"/>
      <c r="E127" s="85" t="n"/>
      <c r="F127" s="86" t="n"/>
      <c r="G127" s="87" t="n"/>
      <c r="H127" s="88" t="n"/>
      <c r="I127" s="89" t="n"/>
      <c r="J127" s="90" t="n"/>
      <c r="K127" s="87" t="n"/>
      <c r="L127" s="87" t="n"/>
      <c r="M127" s="91" t="n"/>
      <c r="N127" s="92" t="n"/>
      <c r="O127" s="70" t="n"/>
      <c r="P127" s="92" t="n"/>
      <c r="Q127" s="87" t="n"/>
      <c r="R127" s="79" t="str">
        <f>IF($A127="","",IF($C127="","Missing: type",IF(OR($D127="",$D127&lt;=0),"Missing: unit cost",IF($E127="","Missing: unit price",IF($F127="","Missing: daily sales",IF($K127="","Missing: on hand",IF($N127="","Missing: production days",IF($O127="","Missing: freight mode",IF(ISNA(MATCH($O127,Setup!$B$25:$B$29,0)),"Unknown freight mode",IF(AND($L127&lt;&gt;"",$L127&gt;0,$M127=""),"Missing: on-order arrival date","OK"))))))))))</f>
        <v/>
      </c>
      <c r="S127" s="78" t="str">
        <f>IF($R127&lt;&gt;"OK","",IF($G127="","",ROUND($G127/IF(OR($H127="",$H127&lt;=0),4,$H127)*4,0)))</f>
        <v/>
      </c>
      <c r="T127" s="78" t="str">
        <f>IF($R127&lt;&gt;"OK","",ROUND(IF($G127="",$F127*4*Setup!$C$19,$G127/IF(OR($H127="",$H127&lt;=0),4,$H127)*4*(1+IF($I127="",Setup!$C$16,$I127)))*IF($J127="",1,$J127),0))</f>
        <v/>
      </c>
      <c r="U127" s="78" t="str">
        <f>IF($R127&lt;&gt;"OK","",ROUND($T127*Setup!$C$17,0))</f>
        <v/>
      </c>
      <c r="V127" s="78" t="str">
        <f>IF($R127&lt;&gt;"OK","",ROUND($T127*Setup!$C$18,0))</f>
        <v/>
      </c>
      <c r="W127" s="78" t="str">
        <f>IF($R127&lt;&gt;"OK","",IF($C127="Evergreen",$V127,IF($C127="Seasonal or new",$U127,$T127)))</f>
        <v/>
      </c>
      <c r="X127" s="78" t="str">
        <f>IF($R127&lt;&gt;"OK","",ROUND(($F127*MAX(0,MIN(Setup!$C$13+1,(Setup!$C$5-Setup!$C$7))-Setup!$C$4)+$F127*Setup!$C$8*MAX(0,MIN(Setup!$C$13+1,Setup!$C$5)-MAX((Setup!$C$5-Setup!$C$7),Setup!$C$4))+$W127/4*MAX(0,MIN(Setup!$C$13+1,Setup!$C$5+4)-MAX(Setup!$C$5,Setup!$C$4))+$F127*Setup!$C$14*MAX(0,Setup!$C$13+1-MAX(Setup!$C$5+4,Setup!$C$4))),0))</f>
        <v/>
      </c>
      <c r="Y127" s="78" t="str">
        <f>IF($R127&lt;&gt;"OK","",ROUND($F127*Setup!$C$15,0))</f>
        <v/>
      </c>
      <c r="Z127" s="78" t="str">
        <f>IF($R127&lt;&gt;"OK","",IF(AND($L127&lt;&gt;"",$L127&gt;0),IF($M127&lt;=Setup!$C$13,$L127,0),0))</f>
        <v/>
      </c>
      <c r="AA127" s="78" t="str">
        <f>IF($R127&lt;&gt;"OK","",MAX(0,$X127+$Y127-$K127-$Z127))</f>
        <v/>
      </c>
      <c r="AB127" s="78" t="str">
        <f>IF($R127&lt;&gt;"OK","",IF($AA127=0,0,CEILING(MAX($AA127,IF($Q127="",0,$Q127)),IF(OR($P127="",$P127&lt;=0),1,$P127))))</f>
        <v/>
      </c>
      <c r="AC127" s="78" t="str">
        <f>IF($R127&lt;&gt;"OK","",$AB127*$D127)</f>
        <v/>
      </c>
      <c r="AD127" s="93" t="str">
        <f>IF($R127&lt;&gt;"OK","",INDEX(Setup!$D$25:$D$29,MATCH($O127,Setup!$B$25:$B$29,0)))</f>
        <v/>
      </c>
      <c r="AE127" s="93" t="str">
        <f>IF($R127&lt;&gt;"OK","",$AD127-$N127)</f>
        <v/>
      </c>
      <c r="AF127" s="79" t="str">
        <f>IF($R127&lt;&gt;"OK","",IF($AB127=0,"No order needed",IF($AE127&gt;=$AS127,"Order by the deadline",IF(AND($O127&lt;&gt;"Domestic",Setup!$D$27-$N127&gt;=$AS127),"Late by this mode: fly it",IF(Setup!$D$28-$N127&gt;=$AS127,"Late: Express courier only",IF($AG127&lt;Setup!$C$5,"Tight: lands before Black Friday",IF(AND($O127&lt;&gt;"Domestic",$AT127&lt;Setup!$C$5),"Tight: by Air lands before Black Friday",IF($AS127+$N127+Setup!$C$28+Setup!$C$11&lt;Setup!$C$5,"Tight: by Express lands before Black Friday","Too late: ration"))))))))</f>
        <v/>
      </c>
      <c r="AG127" s="93" t="str">
        <f>IF($R127&lt;&gt;"OK","",IF($AB127=0,"",$AS127+$N127+INDEX(Setup!$C$25:$C$29,MATCH($O127,Setup!$B$25:$B$29,0))+Setup!$C$11))</f>
        <v/>
      </c>
      <c r="AH127" s="93" t="str">
        <f>IF($R127&lt;&gt;"OK","",IF($F127&lt;=0,"",INT(IF($K127&lt;($F127*MAX(0,(Setup!$C$5-Setup!$C$7)-Setup!$C$4)),Setup!$C$4+$K127/$F127,IF($K127&lt;($F127*MAX(0,(Setup!$C$5-Setup!$C$7)-Setup!$C$4))+($F127*Setup!$C$8*MAX(0,Setup!$C$5-MAX((Setup!$C$5-Setup!$C$7),Setup!$C$4))),MAX((Setup!$C$5-Setup!$C$7),Setup!$C$4)+($K127-($F127*MAX(0,(Setup!$C$5-Setup!$C$7)-Setup!$C$4)))/($F127*Setup!$C$8),IF(AND($W127&gt;0,$K127&lt;($F127*MAX(0,(Setup!$C$5-Setup!$C$7)-Setup!$C$4))+($F127*Setup!$C$8*MAX(0,Setup!$C$5-MAX((Setup!$C$5-Setup!$C$7),Setup!$C$4)))+($W127/4*MAX(0,Setup!$C$5+4-MAX(Setup!$C$5,Setup!$C$4)))),MAX(Setup!$C$5,Setup!$C$4)+($K127-($F127*MAX(0,(Setup!$C$5-Setup!$C$7)-Setup!$C$4))-($F127*Setup!$C$8*MAX(0,Setup!$C$5-MAX((Setup!$C$5-Setup!$C$7),Setup!$C$4))))/($W127/4),MAX(Setup!$C$5+4,Setup!$C$4)+($K127-($F127*MAX(0,(Setup!$C$5-Setup!$C$7)-Setup!$C$4))-($F127*Setup!$C$8*MAX(0,Setup!$C$5-MAX((Setup!$C$5-Setup!$C$7),Setup!$C$4)))-($W127/4*MAX(0,Setup!$C$5+4-MAX(Setup!$C$5,Setup!$C$4))))/($F127*Setup!$C$14)))))))</f>
        <v/>
      </c>
      <c r="AI127" s="79" t="str">
        <f>IF($R127&lt;&gt;"OK","",IF(AND($L127&lt;&gt;"",$L127&gt;0,ISNUMBER($AH127),$M127&gt;$AH127),"Runs out before the incoming delivery arrives",IF($AB127=0,"OK",IF($K127+IF(AND($L127&lt;&gt;"",$L127&gt;0),IF($M127&lt;=$AG127,$L127,0),0)&lt;($F127*MAX(0,MIN($AG127,(Setup!$C$5-Setup!$C$7))-Setup!$C$4)+$F127*Setup!$C$8*MAX(0,MIN($AG127,Setup!$C$5)-MAX((Setup!$C$5-Setup!$C$7),Setup!$C$4))+$W127/4*MAX(0,MIN($AG127,Setup!$C$5+4)-MAX(Setup!$C$5,Setup!$C$4))+$F127*Setup!$C$14*MAX(0,$AG127-MAX(Setup!$C$5+4,Setup!$C$4))),"Runs out before this order can land","OK"))))</f>
        <v/>
      </c>
      <c r="AJ127" s="78" t="str">
        <f>IF($R127&lt;&gt;"OK","",IF($AB127=0,0,IF($AL127="Too slow: send it all fast",$AB127,$AR127)))</f>
        <v/>
      </c>
      <c r="AK127" s="78" t="str">
        <f>IF($R127&lt;&gt;"OK","",$AB127-$AJ127)</f>
        <v/>
      </c>
      <c r="AL127" s="78" t="str">
        <f>IF($R127&lt;&gt;"OK","",IF($AB127=0,"",IF($AB127-$AR127=0,"Nothing left over",IF($O127="Domestic",IF($AG127&lt;=Setup!$C$6+Setup!$C$20+1,"Later units can go by Domestic","Too slow: send it all fast"),IF($AS127+$N127+Setup!$C$25+Setup!$C$11&lt;=Setup!$C$6+Setup!$C$20+1,"Later units can go by Ocean long",IF($AS127+$N127+Setup!$C$26+Setup!$C$11&lt;=Setup!$C$6+Setup!$C$20+1,"Later units can go by Ocean short",IF($AS127+$N127+Setup!$C$27+Setup!$C$11&lt;=Setup!$C$6+Setup!$C$20+1,"Later units can go by Air",IF($AS127+$N127+Setup!$C$28+Setup!$C$11&lt;=Setup!$C$6+Setup!$C$20+1,"Later units can go by Express","Too slow: send it all fast"))))))))</f>
        <v/>
      </c>
      <c r="AM127" s="94" t="str">
        <f>IF($R127&lt;&gt;"OK","",$E127-$D127)</f>
        <v/>
      </c>
      <c r="AN127" s="95" t="str">
        <f>IF($R127&lt;&gt;"OK","",($E127-$D127)/$D127)</f>
        <v/>
      </c>
      <c r="AO127" s="95" t="str">
        <f>IF($R127&lt;&gt;"OK","",IF($AB127&gt;0,$AN127+IF($C127="Evergreen",1000,0),""))</f>
        <v/>
      </c>
      <c r="AP127" s="78" t="str">
        <f>IF(OR($R127&lt;&gt;"OK",$AO127=""),"",COUNTIF($AO$6:$AO$205,"&gt;"&amp;$AO127)+COUNTIF($AO$6:$AO127,$AO127))</f>
        <v/>
      </c>
      <c r="AQ127" s="78" t="str">
        <f>IF(OR($R127&lt;&gt;"OK",$AP127=""),"",INDEX('Buy list'!$G$5:$G$204,$AP127))</f>
        <v/>
      </c>
      <c r="AR127" s="78" t="str">
        <f>IF($R127&lt;&gt;"OK","",IF($AB127=0,0,MIN($AB127,CEILING(MAX(0,($F127*MAX(0,MIN((Setup!$C$6+1+Setup!$C$20),(Setup!$C$5-Setup!$C$7))-Setup!$C$4)+$F127*Setup!$C$8*MAX(0,MIN((Setup!$C$6+1+Setup!$C$20),Setup!$C$5)-MAX((Setup!$C$5-Setup!$C$7),Setup!$C$4))+$W127/4*MAX(0,MIN((Setup!$C$6+1+Setup!$C$20),Setup!$C$5+4)-MAX(Setup!$C$5,Setup!$C$4))+$F127*Setup!$C$14*MAX(0,(Setup!$C$6+1+Setup!$C$20)-MAX(Setup!$C$5+4,Setup!$C$4)))+$Y127-$K127-IF(AND($L127&lt;&gt;"",$L127&gt;0),IF($M127&lt;=Setup!$C$10,$L127,0),0)),IF(OR($P127="",$P127&lt;=0),1,$P127)))))</f>
        <v/>
      </c>
      <c r="AS127" s="96" t="str">
        <f>IF($R127&lt;&gt;"OK","",IF(AND($O127&lt;&gt;"Domestic",ISNUMBER(Setup!$C$22),Setup!$C$22&gt;Setup!$C$4),Setup!$C$22,Setup!$C$4))</f>
        <v/>
      </c>
      <c r="AT127" s="96" t="str">
        <f>IF($R127&lt;&gt;"OK","",IF($AB127=0,"",IF($O127="Domestic",$AG127,$AS127+$N127+Setup!$C$27+Setup!$C$11)))</f>
        <v/>
      </c>
    </row>
    <row r="128" ht="15" customHeight="1" s="46">
      <c r="A128" s="70" t="n"/>
      <c r="B128" s="70" t="n"/>
      <c r="C128" s="70" t="n"/>
      <c r="D128" s="85" t="n"/>
      <c r="E128" s="85" t="n"/>
      <c r="F128" s="86" t="n"/>
      <c r="G128" s="87" t="n"/>
      <c r="H128" s="88" t="n"/>
      <c r="I128" s="89" t="n"/>
      <c r="J128" s="90" t="n"/>
      <c r="K128" s="87" t="n"/>
      <c r="L128" s="87" t="n"/>
      <c r="M128" s="91" t="n"/>
      <c r="N128" s="92" t="n"/>
      <c r="O128" s="70" t="n"/>
      <c r="P128" s="92" t="n"/>
      <c r="Q128" s="87" t="n"/>
      <c r="R128" s="79" t="str">
        <f>IF($A128="","",IF($C128="","Missing: type",IF(OR($D128="",$D128&lt;=0),"Missing: unit cost",IF($E128="","Missing: unit price",IF($F128="","Missing: daily sales",IF($K128="","Missing: on hand",IF($N128="","Missing: production days",IF($O128="","Missing: freight mode",IF(ISNA(MATCH($O128,Setup!$B$25:$B$29,0)),"Unknown freight mode",IF(AND($L128&lt;&gt;"",$L128&gt;0,$M128=""),"Missing: on-order arrival date","OK"))))))))))</f>
        <v/>
      </c>
      <c r="S128" s="78" t="str">
        <f>IF($R128&lt;&gt;"OK","",IF($G128="","",ROUND($G128/IF(OR($H128="",$H128&lt;=0),4,$H128)*4,0)))</f>
        <v/>
      </c>
      <c r="T128" s="78" t="str">
        <f>IF($R128&lt;&gt;"OK","",ROUND(IF($G128="",$F128*4*Setup!$C$19,$G128/IF(OR($H128="",$H128&lt;=0),4,$H128)*4*(1+IF($I128="",Setup!$C$16,$I128)))*IF($J128="",1,$J128),0))</f>
        <v/>
      </c>
      <c r="U128" s="78" t="str">
        <f>IF($R128&lt;&gt;"OK","",ROUND($T128*Setup!$C$17,0))</f>
        <v/>
      </c>
      <c r="V128" s="78" t="str">
        <f>IF($R128&lt;&gt;"OK","",ROUND($T128*Setup!$C$18,0))</f>
        <v/>
      </c>
      <c r="W128" s="78" t="str">
        <f>IF($R128&lt;&gt;"OK","",IF($C128="Evergreen",$V128,IF($C128="Seasonal or new",$U128,$T128)))</f>
        <v/>
      </c>
      <c r="X128" s="78" t="str">
        <f>IF($R128&lt;&gt;"OK","",ROUND(($F128*MAX(0,MIN(Setup!$C$13+1,(Setup!$C$5-Setup!$C$7))-Setup!$C$4)+$F128*Setup!$C$8*MAX(0,MIN(Setup!$C$13+1,Setup!$C$5)-MAX((Setup!$C$5-Setup!$C$7),Setup!$C$4))+$W128/4*MAX(0,MIN(Setup!$C$13+1,Setup!$C$5+4)-MAX(Setup!$C$5,Setup!$C$4))+$F128*Setup!$C$14*MAX(0,Setup!$C$13+1-MAX(Setup!$C$5+4,Setup!$C$4))),0))</f>
        <v/>
      </c>
      <c r="Y128" s="78" t="str">
        <f>IF($R128&lt;&gt;"OK","",ROUND($F128*Setup!$C$15,0))</f>
        <v/>
      </c>
      <c r="Z128" s="78" t="str">
        <f>IF($R128&lt;&gt;"OK","",IF(AND($L128&lt;&gt;"",$L128&gt;0),IF($M128&lt;=Setup!$C$13,$L128,0),0))</f>
        <v/>
      </c>
      <c r="AA128" s="78" t="str">
        <f>IF($R128&lt;&gt;"OK","",MAX(0,$X128+$Y128-$K128-$Z128))</f>
        <v/>
      </c>
      <c r="AB128" s="78" t="str">
        <f>IF($R128&lt;&gt;"OK","",IF($AA128=0,0,CEILING(MAX($AA128,IF($Q128="",0,$Q128)),IF(OR($P128="",$P128&lt;=0),1,$P128))))</f>
        <v/>
      </c>
      <c r="AC128" s="78" t="str">
        <f>IF($R128&lt;&gt;"OK","",$AB128*$D128)</f>
        <v/>
      </c>
      <c r="AD128" s="93" t="str">
        <f>IF($R128&lt;&gt;"OK","",INDEX(Setup!$D$25:$D$29,MATCH($O128,Setup!$B$25:$B$29,0)))</f>
        <v/>
      </c>
      <c r="AE128" s="93" t="str">
        <f>IF($R128&lt;&gt;"OK","",$AD128-$N128)</f>
        <v/>
      </c>
      <c r="AF128" s="79" t="str">
        <f>IF($R128&lt;&gt;"OK","",IF($AB128=0,"No order needed",IF($AE128&gt;=$AS128,"Order by the deadline",IF(AND($O128&lt;&gt;"Domestic",Setup!$D$27-$N128&gt;=$AS128),"Late by this mode: fly it",IF(Setup!$D$28-$N128&gt;=$AS128,"Late: Express courier only",IF($AG128&lt;Setup!$C$5,"Tight: lands before Black Friday",IF(AND($O128&lt;&gt;"Domestic",$AT128&lt;Setup!$C$5),"Tight: by Air lands before Black Friday",IF($AS128+$N128+Setup!$C$28+Setup!$C$11&lt;Setup!$C$5,"Tight: by Express lands before Black Friday","Too late: ration"))))))))</f>
        <v/>
      </c>
      <c r="AG128" s="93" t="str">
        <f>IF($R128&lt;&gt;"OK","",IF($AB128=0,"",$AS128+$N128+INDEX(Setup!$C$25:$C$29,MATCH($O128,Setup!$B$25:$B$29,0))+Setup!$C$11))</f>
        <v/>
      </c>
      <c r="AH128" s="93" t="str">
        <f>IF($R128&lt;&gt;"OK","",IF($F128&lt;=0,"",INT(IF($K128&lt;($F128*MAX(0,(Setup!$C$5-Setup!$C$7)-Setup!$C$4)),Setup!$C$4+$K128/$F128,IF($K128&lt;($F128*MAX(0,(Setup!$C$5-Setup!$C$7)-Setup!$C$4))+($F128*Setup!$C$8*MAX(0,Setup!$C$5-MAX((Setup!$C$5-Setup!$C$7),Setup!$C$4))),MAX((Setup!$C$5-Setup!$C$7),Setup!$C$4)+($K128-($F128*MAX(0,(Setup!$C$5-Setup!$C$7)-Setup!$C$4)))/($F128*Setup!$C$8),IF(AND($W128&gt;0,$K128&lt;($F128*MAX(0,(Setup!$C$5-Setup!$C$7)-Setup!$C$4))+($F128*Setup!$C$8*MAX(0,Setup!$C$5-MAX((Setup!$C$5-Setup!$C$7),Setup!$C$4)))+($W128/4*MAX(0,Setup!$C$5+4-MAX(Setup!$C$5,Setup!$C$4)))),MAX(Setup!$C$5,Setup!$C$4)+($K128-($F128*MAX(0,(Setup!$C$5-Setup!$C$7)-Setup!$C$4))-($F128*Setup!$C$8*MAX(0,Setup!$C$5-MAX((Setup!$C$5-Setup!$C$7),Setup!$C$4))))/($W128/4),MAX(Setup!$C$5+4,Setup!$C$4)+($K128-($F128*MAX(0,(Setup!$C$5-Setup!$C$7)-Setup!$C$4))-($F128*Setup!$C$8*MAX(0,Setup!$C$5-MAX((Setup!$C$5-Setup!$C$7),Setup!$C$4)))-($W128/4*MAX(0,Setup!$C$5+4-MAX(Setup!$C$5,Setup!$C$4))))/($F128*Setup!$C$14)))))))</f>
        <v/>
      </c>
      <c r="AI128" s="79" t="str">
        <f>IF($R128&lt;&gt;"OK","",IF(AND($L128&lt;&gt;"",$L128&gt;0,ISNUMBER($AH128),$M128&gt;$AH128),"Runs out before the incoming delivery arrives",IF($AB128=0,"OK",IF($K128+IF(AND($L128&lt;&gt;"",$L128&gt;0),IF($M128&lt;=$AG128,$L128,0),0)&lt;($F128*MAX(0,MIN($AG128,(Setup!$C$5-Setup!$C$7))-Setup!$C$4)+$F128*Setup!$C$8*MAX(0,MIN($AG128,Setup!$C$5)-MAX((Setup!$C$5-Setup!$C$7),Setup!$C$4))+$W128/4*MAX(0,MIN($AG128,Setup!$C$5+4)-MAX(Setup!$C$5,Setup!$C$4))+$F128*Setup!$C$14*MAX(0,$AG128-MAX(Setup!$C$5+4,Setup!$C$4))),"Runs out before this order can land","OK"))))</f>
        <v/>
      </c>
      <c r="AJ128" s="78" t="str">
        <f>IF($R128&lt;&gt;"OK","",IF($AB128=0,0,IF($AL128="Too slow: send it all fast",$AB128,$AR128)))</f>
        <v/>
      </c>
      <c r="AK128" s="78" t="str">
        <f>IF($R128&lt;&gt;"OK","",$AB128-$AJ128)</f>
        <v/>
      </c>
      <c r="AL128" s="78" t="str">
        <f>IF($R128&lt;&gt;"OK","",IF($AB128=0,"",IF($AB128-$AR128=0,"Nothing left over",IF($O128="Domestic",IF($AG128&lt;=Setup!$C$6+Setup!$C$20+1,"Later units can go by Domestic","Too slow: send it all fast"),IF($AS128+$N128+Setup!$C$25+Setup!$C$11&lt;=Setup!$C$6+Setup!$C$20+1,"Later units can go by Ocean long",IF($AS128+$N128+Setup!$C$26+Setup!$C$11&lt;=Setup!$C$6+Setup!$C$20+1,"Later units can go by Ocean short",IF($AS128+$N128+Setup!$C$27+Setup!$C$11&lt;=Setup!$C$6+Setup!$C$20+1,"Later units can go by Air",IF($AS128+$N128+Setup!$C$28+Setup!$C$11&lt;=Setup!$C$6+Setup!$C$20+1,"Later units can go by Express","Too slow: send it all fast"))))))))</f>
        <v/>
      </c>
      <c r="AM128" s="94" t="str">
        <f>IF($R128&lt;&gt;"OK","",$E128-$D128)</f>
        <v/>
      </c>
      <c r="AN128" s="95" t="str">
        <f>IF($R128&lt;&gt;"OK","",($E128-$D128)/$D128)</f>
        <v/>
      </c>
      <c r="AO128" s="95" t="str">
        <f>IF($R128&lt;&gt;"OK","",IF($AB128&gt;0,$AN128+IF($C128="Evergreen",1000,0),""))</f>
        <v/>
      </c>
      <c r="AP128" s="78" t="str">
        <f>IF(OR($R128&lt;&gt;"OK",$AO128=""),"",COUNTIF($AO$6:$AO$205,"&gt;"&amp;$AO128)+COUNTIF($AO$6:$AO128,$AO128))</f>
        <v/>
      </c>
      <c r="AQ128" s="78" t="str">
        <f>IF(OR($R128&lt;&gt;"OK",$AP128=""),"",INDEX('Buy list'!$G$5:$G$204,$AP128))</f>
        <v/>
      </c>
      <c r="AR128" s="78" t="str">
        <f>IF($R128&lt;&gt;"OK","",IF($AB128=0,0,MIN($AB128,CEILING(MAX(0,($F128*MAX(0,MIN((Setup!$C$6+1+Setup!$C$20),(Setup!$C$5-Setup!$C$7))-Setup!$C$4)+$F128*Setup!$C$8*MAX(0,MIN((Setup!$C$6+1+Setup!$C$20),Setup!$C$5)-MAX((Setup!$C$5-Setup!$C$7),Setup!$C$4))+$W128/4*MAX(0,MIN((Setup!$C$6+1+Setup!$C$20),Setup!$C$5+4)-MAX(Setup!$C$5,Setup!$C$4))+$F128*Setup!$C$14*MAX(0,(Setup!$C$6+1+Setup!$C$20)-MAX(Setup!$C$5+4,Setup!$C$4)))+$Y128-$K128-IF(AND($L128&lt;&gt;"",$L128&gt;0),IF($M128&lt;=Setup!$C$10,$L128,0),0)),IF(OR($P128="",$P128&lt;=0),1,$P128)))))</f>
        <v/>
      </c>
      <c r="AS128" s="96" t="str">
        <f>IF($R128&lt;&gt;"OK","",IF(AND($O128&lt;&gt;"Domestic",ISNUMBER(Setup!$C$22),Setup!$C$22&gt;Setup!$C$4),Setup!$C$22,Setup!$C$4))</f>
        <v/>
      </c>
      <c r="AT128" s="96" t="str">
        <f>IF($R128&lt;&gt;"OK","",IF($AB128=0,"",IF($O128="Domestic",$AG128,$AS128+$N128+Setup!$C$27+Setup!$C$11)))</f>
        <v/>
      </c>
    </row>
    <row r="129" ht="15" customHeight="1" s="46">
      <c r="A129" s="70" t="n"/>
      <c r="B129" s="70" t="n"/>
      <c r="C129" s="70" t="n"/>
      <c r="D129" s="85" t="n"/>
      <c r="E129" s="85" t="n"/>
      <c r="F129" s="86" t="n"/>
      <c r="G129" s="87" t="n"/>
      <c r="H129" s="88" t="n"/>
      <c r="I129" s="89" t="n"/>
      <c r="J129" s="90" t="n"/>
      <c r="K129" s="87" t="n"/>
      <c r="L129" s="87" t="n"/>
      <c r="M129" s="91" t="n"/>
      <c r="N129" s="92" t="n"/>
      <c r="O129" s="70" t="n"/>
      <c r="P129" s="92" t="n"/>
      <c r="Q129" s="87" t="n"/>
      <c r="R129" s="79" t="str">
        <f>IF($A129="","",IF($C129="","Missing: type",IF(OR($D129="",$D129&lt;=0),"Missing: unit cost",IF($E129="","Missing: unit price",IF($F129="","Missing: daily sales",IF($K129="","Missing: on hand",IF($N129="","Missing: production days",IF($O129="","Missing: freight mode",IF(ISNA(MATCH($O129,Setup!$B$25:$B$29,0)),"Unknown freight mode",IF(AND($L129&lt;&gt;"",$L129&gt;0,$M129=""),"Missing: on-order arrival date","OK"))))))))))</f>
        <v/>
      </c>
      <c r="S129" s="78" t="str">
        <f>IF($R129&lt;&gt;"OK","",IF($G129="","",ROUND($G129/IF(OR($H129="",$H129&lt;=0),4,$H129)*4,0)))</f>
        <v/>
      </c>
      <c r="T129" s="78" t="str">
        <f>IF($R129&lt;&gt;"OK","",ROUND(IF($G129="",$F129*4*Setup!$C$19,$G129/IF(OR($H129="",$H129&lt;=0),4,$H129)*4*(1+IF($I129="",Setup!$C$16,$I129)))*IF($J129="",1,$J129),0))</f>
        <v/>
      </c>
      <c r="U129" s="78" t="str">
        <f>IF($R129&lt;&gt;"OK","",ROUND($T129*Setup!$C$17,0))</f>
        <v/>
      </c>
      <c r="V129" s="78" t="str">
        <f>IF($R129&lt;&gt;"OK","",ROUND($T129*Setup!$C$18,0))</f>
        <v/>
      </c>
      <c r="W129" s="78" t="str">
        <f>IF($R129&lt;&gt;"OK","",IF($C129="Evergreen",$V129,IF($C129="Seasonal or new",$U129,$T129)))</f>
        <v/>
      </c>
      <c r="X129" s="78" t="str">
        <f>IF($R129&lt;&gt;"OK","",ROUND(($F129*MAX(0,MIN(Setup!$C$13+1,(Setup!$C$5-Setup!$C$7))-Setup!$C$4)+$F129*Setup!$C$8*MAX(0,MIN(Setup!$C$13+1,Setup!$C$5)-MAX((Setup!$C$5-Setup!$C$7),Setup!$C$4))+$W129/4*MAX(0,MIN(Setup!$C$13+1,Setup!$C$5+4)-MAX(Setup!$C$5,Setup!$C$4))+$F129*Setup!$C$14*MAX(0,Setup!$C$13+1-MAX(Setup!$C$5+4,Setup!$C$4))),0))</f>
        <v/>
      </c>
      <c r="Y129" s="78" t="str">
        <f>IF($R129&lt;&gt;"OK","",ROUND($F129*Setup!$C$15,0))</f>
        <v/>
      </c>
      <c r="Z129" s="78" t="str">
        <f>IF($R129&lt;&gt;"OK","",IF(AND($L129&lt;&gt;"",$L129&gt;0),IF($M129&lt;=Setup!$C$13,$L129,0),0))</f>
        <v/>
      </c>
      <c r="AA129" s="78" t="str">
        <f>IF($R129&lt;&gt;"OK","",MAX(0,$X129+$Y129-$K129-$Z129))</f>
        <v/>
      </c>
      <c r="AB129" s="78" t="str">
        <f>IF($R129&lt;&gt;"OK","",IF($AA129=0,0,CEILING(MAX($AA129,IF($Q129="",0,$Q129)),IF(OR($P129="",$P129&lt;=0),1,$P129))))</f>
        <v/>
      </c>
      <c r="AC129" s="78" t="str">
        <f>IF($R129&lt;&gt;"OK","",$AB129*$D129)</f>
        <v/>
      </c>
      <c r="AD129" s="93" t="str">
        <f>IF($R129&lt;&gt;"OK","",INDEX(Setup!$D$25:$D$29,MATCH($O129,Setup!$B$25:$B$29,0)))</f>
        <v/>
      </c>
      <c r="AE129" s="93" t="str">
        <f>IF($R129&lt;&gt;"OK","",$AD129-$N129)</f>
        <v/>
      </c>
      <c r="AF129" s="79" t="str">
        <f>IF($R129&lt;&gt;"OK","",IF($AB129=0,"No order needed",IF($AE129&gt;=$AS129,"Order by the deadline",IF(AND($O129&lt;&gt;"Domestic",Setup!$D$27-$N129&gt;=$AS129),"Late by this mode: fly it",IF(Setup!$D$28-$N129&gt;=$AS129,"Late: Express courier only",IF($AG129&lt;Setup!$C$5,"Tight: lands before Black Friday",IF(AND($O129&lt;&gt;"Domestic",$AT129&lt;Setup!$C$5),"Tight: by Air lands before Black Friday",IF($AS129+$N129+Setup!$C$28+Setup!$C$11&lt;Setup!$C$5,"Tight: by Express lands before Black Friday","Too late: ration"))))))))</f>
        <v/>
      </c>
      <c r="AG129" s="93" t="str">
        <f>IF($R129&lt;&gt;"OK","",IF($AB129=0,"",$AS129+$N129+INDEX(Setup!$C$25:$C$29,MATCH($O129,Setup!$B$25:$B$29,0))+Setup!$C$11))</f>
        <v/>
      </c>
      <c r="AH129" s="93" t="str">
        <f>IF($R129&lt;&gt;"OK","",IF($F129&lt;=0,"",INT(IF($K129&lt;($F129*MAX(0,(Setup!$C$5-Setup!$C$7)-Setup!$C$4)),Setup!$C$4+$K129/$F129,IF($K129&lt;($F129*MAX(0,(Setup!$C$5-Setup!$C$7)-Setup!$C$4))+($F129*Setup!$C$8*MAX(0,Setup!$C$5-MAX((Setup!$C$5-Setup!$C$7),Setup!$C$4))),MAX((Setup!$C$5-Setup!$C$7),Setup!$C$4)+($K129-($F129*MAX(0,(Setup!$C$5-Setup!$C$7)-Setup!$C$4)))/($F129*Setup!$C$8),IF(AND($W129&gt;0,$K129&lt;($F129*MAX(0,(Setup!$C$5-Setup!$C$7)-Setup!$C$4))+($F129*Setup!$C$8*MAX(0,Setup!$C$5-MAX((Setup!$C$5-Setup!$C$7),Setup!$C$4)))+($W129/4*MAX(0,Setup!$C$5+4-MAX(Setup!$C$5,Setup!$C$4)))),MAX(Setup!$C$5,Setup!$C$4)+($K129-($F129*MAX(0,(Setup!$C$5-Setup!$C$7)-Setup!$C$4))-($F129*Setup!$C$8*MAX(0,Setup!$C$5-MAX((Setup!$C$5-Setup!$C$7),Setup!$C$4))))/($W129/4),MAX(Setup!$C$5+4,Setup!$C$4)+($K129-($F129*MAX(0,(Setup!$C$5-Setup!$C$7)-Setup!$C$4))-($F129*Setup!$C$8*MAX(0,Setup!$C$5-MAX((Setup!$C$5-Setup!$C$7),Setup!$C$4)))-($W129/4*MAX(0,Setup!$C$5+4-MAX(Setup!$C$5,Setup!$C$4))))/($F129*Setup!$C$14)))))))</f>
        <v/>
      </c>
      <c r="AI129" s="79" t="str">
        <f>IF($R129&lt;&gt;"OK","",IF(AND($L129&lt;&gt;"",$L129&gt;0,ISNUMBER($AH129),$M129&gt;$AH129),"Runs out before the incoming delivery arrives",IF($AB129=0,"OK",IF($K129+IF(AND($L129&lt;&gt;"",$L129&gt;0),IF($M129&lt;=$AG129,$L129,0),0)&lt;($F129*MAX(0,MIN($AG129,(Setup!$C$5-Setup!$C$7))-Setup!$C$4)+$F129*Setup!$C$8*MAX(0,MIN($AG129,Setup!$C$5)-MAX((Setup!$C$5-Setup!$C$7),Setup!$C$4))+$W129/4*MAX(0,MIN($AG129,Setup!$C$5+4)-MAX(Setup!$C$5,Setup!$C$4))+$F129*Setup!$C$14*MAX(0,$AG129-MAX(Setup!$C$5+4,Setup!$C$4))),"Runs out before this order can land","OK"))))</f>
        <v/>
      </c>
      <c r="AJ129" s="78" t="str">
        <f>IF($R129&lt;&gt;"OK","",IF($AB129=0,0,IF($AL129="Too slow: send it all fast",$AB129,$AR129)))</f>
        <v/>
      </c>
      <c r="AK129" s="78" t="str">
        <f>IF($R129&lt;&gt;"OK","",$AB129-$AJ129)</f>
        <v/>
      </c>
      <c r="AL129" s="78" t="str">
        <f>IF($R129&lt;&gt;"OK","",IF($AB129=0,"",IF($AB129-$AR129=0,"Nothing left over",IF($O129="Domestic",IF($AG129&lt;=Setup!$C$6+Setup!$C$20+1,"Later units can go by Domestic","Too slow: send it all fast"),IF($AS129+$N129+Setup!$C$25+Setup!$C$11&lt;=Setup!$C$6+Setup!$C$20+1,"Later units can go by Ocean long",IF($AS129+$N129+Setup!$C$26+Setup!$C$11&lt;=Setup!$C$6+Setup!$C$20+1,"Later units can go by Ocean short",IF($AS129+$N129+Setup!$C$27+Setup!$C$11&lt;=Setup!$C$6+Setup!$C$20+1,"Later units can go by Air",IF($AS129+$N129+Setup!$C$28+Setup!$C$11&lt;=Setup!$C$6+Setup!$C$20+1,"Later units can go by Express","Too slow: send it all fast"))))))))</f>
        <v/>
      </c>
      <c r="AM129" s="94" t="str">
        <f>IF($R129&lt;&gt;"OK","",$E129-$D129)</f>
        <v/>
      </c>
      <c r="AN129" s="95" t="str">
        <f>IF($R129&lt;&gt;"OK","",($E129-$D129)/$D129)</f>
        <v/>
      </c>
      <c r="AO129" s="95" t="str">
        <f>IF($R129&lt;&gt;"OK","",IF($AB129&gt;0,$AN129+IF($C129="Evergreen",1000,0),""))</f>
        <v/>
      </c>
      <c r="AP129" s="78" t="str">
        <f>IF(OR($R129&lt;&gt;"OK",$AO129=""),"",COUNTIF($AO$6:$AO$205,"&gt;"&amp;$AO129)+COUNTIF($AO$6:$AO129,$AO129))</f>
        <v/>
      </c>
      <c r="AQ129" s="78" t="str">
        <f>IF(OR($R129&lt;&gt;"OK",$AP129=""),"",INDEX('Buy list'!$G$5:$G$204,$AP129))</f>
        <v/>
      </c>
      <c r="AR129" s="78" t="str">
        <f>IF($R129&lt;&gt;"OK","",IF($AB129=0,0,MIN($AB129,CEILING(MAX(0,($F129*MAX(0,MIN((Setup!$C$6+1+Setup!$C$20),(Setup!$C$5-Setup!$C$7))-Setup!$C$4)+$F129*Setup!$C$8*MAX(0,MIN((Setup!$C$6+1+Setup!$C$20),Setup!$C$5)-MAX((Setup!$C$5-Setup!$C$7),Setup!$C$4))+$W129/4*MAX(0,MIN((Setup!$C$6+1+Setup!$C$20),Setup!$C$5+4)-MAX(Setup!$C$5,Setup!$C$4))+$F129*Setup!$C$14*MAX(0,(Setup!$C$6+1+Setup!$C$20)-MAX(Setup!$C$5+4,Setup!$C$4)))+$Y129-$K129-IF(AND($L129&lt;&gt;"",$L129&gt;0),IF($M129&lt;=Setup!$C$10,$L129,0),0)),IF(OR($P129="",$P129&lt;=0),1,$P129)))))</f>
        <v/>
      </c>
      <c r="AS129" s="96" t="str">
        <f>IF($R129&lt;&gt;"OK","",IF(AND($O129&lt;&gt;"Domestic",ISNUMBER(Setup!$C$22),Setup!$C$22&gt;Setup!$C$4),Setup!$C$22,Setup!$C$4))</f>
        <v/>
      </c>
      <c r="AT129" s="96" t="str">
        <f>IF($R129&lt;&gt;"OK","",IF($AB129=0,"",IF($O129="Domestic",$AG129,$AS129+$N129+Setup!$C$27+Setup!$C$11)))</f>
        <v/>
      </c>
    </row>
    <row r="130" ht="15" customHeight="1" s="46">
      <c r="A130" s="70" t="n"/>
      <c r="B130" s="70" t="n"/>
      <c r="C130" s="70" t="n"/>
      <c r="D130" s="85" t="n"/>
      <c r="E130" s="85" t="n"/>
      <c r="F130" s="86" t="n"/>
      <c r="G130" s="87" t="n"/>
      <c r="H130" s="88" t="n"/>
      <c r="I130" s="89" t="n"/>
      <c r="J130" s="90" t="n"/>
      <c r="K130" s="87" t="n"/>
      <c r="L130" s="87" t="n"/>
      <c r="M130" s="91" t="n"/>
      <c r="N130" s="92" t="n"/>
      <c r="O130" s="70" t="n"/>
      <c r="P130" s="92" t="n"/>
      <c r="Q130" s="87" t="n"/>
      <c r="R130" s="79" t="str">
        <f>IF($A130="","",IF($C130="","Missing: type",IF(OR($D130="",$D130&lt;=0),"Missing: unit cost",IF($E130="","Missing: unit price",IF($F130="","Missing: daily sales",IF($K130="","Missing: on hand",IF($N130="","Missing: production days",IF($O130="","Missing: freight mode",IF(ISNA(MATCH($O130,Setup!$B$25:$B$29,0)),"Unknown freight mode",IF(AND($L130&lt;&gt;"",$L130&gt;0,$M130=""),"Missing: on-order arrival date","OK"))))))))))</f>
        <v/>
      </c>
      <c r="S130" s="78" t="str">
        <f>IF($R130&lt;&gt;"OK","",IF($G130="","",ROUND($G130/IF(OR($H130="",$H130&lt;=0),4,$H130)*4,0)))</f>
        <v/>
      </c>
      <c r="T130" s="78" t="str">
        <f>IF($R130&lt;&gt;"OK","",ROUND(IF($G130="",$F130*4*Setup!$C$19,$G130/IF(OR($H130="",$H130&lt;=0),4,$H130)*4*(1+IF($I130="",Setup!$C$16,$I130)))*IF($J130="",1,$J130),0))</f>
        <v/>
      </c>
      <c r="U130" s="78" t="str">
        <f>IF($R130&lt;&gt;"OK","",ROUND($T130*Setup!$C$17,0))</f>
        <v/>
      </c>
      <c r="V130" s="78" t="str">
        <f>IF($R130&lt;&gt;"OK","",ROUND($T130*Setup!$C$18,0))</f>
        <v/>
      </c>
      <c r="W130" s="78" t="str">
        <f>IF($R130&lt;&gt;"OK","",IF($C130="Evergreen",$V130,IF($C130="Seasonal or new",$U130,$T130)))</f>
        <v/>
      </c>
      <c r="X130" s="78" t="str">
        <f>IF($R130&lt;&gt;"OK","",ROUND(($F130*MAX(0,MIN(Setup!$C$13+1,(Setup!$C$5-Setup!$C$7))-Setup!$C$4)+$F130*Setup!$C$8*MAX(0,MIN(Setup!$C$13+1,Setup!$C$5)-MAX((Setup!$C$5-Setup!$C$7),Setup!$C$4))+$W130/4*MAX(0,MIN(Setup!$C$13+1,Setup!$C$5+4)-MAX(Setup!$C$5,Setup!$C$4))+$F130*Setup!$C$14*MAX(0,Setup!$C$13+1-MAX(Setup!$C$5+4,Setup!$C$4))),0))</f>
        <v/>
      </c>
      <c r="Y130" s="78" t="str">
        <f>IF($R130&lt;&gt;"OK","",ROUND($F130*Setup!$C$15,0))</f>
        <v/>
      </c>
      <c r="Z130" s="78" t="str">
        <f>IF($R130&lt;&gt;"OK","",IF(AND($L130&lt;&gt;"",$L130&gt;0),IF($M130&lt;=Setup!$C$13,$L130,0),0))</f>
        <v/>
      </c>
      <c r="AA130" s="78" t="str">
        <f>IF($R130&lt;&gt;"OK","",MAX(0,$X130+$Y130-$K130-$Z130))</f>
        <v/>
      </c>
      <c r="AB130" s="78" t="str">
        <f>IF($R130&lt;&gt;"OK","",IF($AA130=0,0,CEILING(MAX($AA130,IF($Q130="",0,$Q130)),IF(OR($P130="",$P130&lt;=0),1,$P130))))</f>
        <v/>
      </c>
      <c r="AC130" s="78" t="str">
        <f>IF($R130&lt;&gt;"OK","",$AB130*$D130)</f>
        <v/>
      </c>
      <c r="AD130" s="93" t="str">
        <f>IF($R130&lt;&gt;"OK","",INDEX(Setup!$D$25:$D$29,MATCH($O130,Setup!$B$25:$B$29,0)))</f>
        <v/>
      </c>
      <c r="AE130" s="93" t="str">
        <f>IF($R130&lt;&gt;"OK","",$AD130-$N130)</f>
        <v/>
      </c>
      <c r="AF130" s="79" t="str">
        <f>IF($R130&lt;&gt;"OK","",IF($AB130=0,"No order needed",IF($AE130&gt;=$AS130,"Order by the deadline",IF(AND($O130&lt;&gt;"Domestic",Setup!$D$27-$N130&gt;=$AS130),"Late by this mode: fly it",IF(Setup!$D$28-$N130&gt;=$AS130,"Late: Express courier only",IF($AG130&lt;Setup!$C$5,"Tight: lands before Black Friday",IF(AND($O130&lt;&gt;"Domestic",$AT130&lt;Setup!$C$5),"Tight: by Air lands before Black Friday",IF($AS130+$N130+Setup!$C$28+Setup!$C$11&lt;Setup!$C$5,"Tight: by Express lands before Black Friday","Too late: ration"))))))))</f>
        <v/>
      </c>
      <c r="AG130" s="93" t="str">
        <f>IF($R130&lt;&gt;"OK","",IF($AB130=0,"",$AS130+$N130+INDEX(Setup!$C$25:$C$29,MATCH($O130,Setup!$B$25:$B$29,0))+Setup!$C$11))</f>
        <v/>
      </c>
      <c r="AH130" s="93" t="str">
        <f>IF($R130&lt;&gt;"OK","",IF($F130&lt;=0,"",INT(IF($K130&lt;($F130*MAX(0,(Setup!$C$5-Setup!$C$7)-Setup!$C$4)),Setup!$C$4+$K130/$F130,IF($K130&lt;($F130*MAX(0,(Setup!$C$5-Setup!$C$7)-Setup!$C$4))+($F130*Setup!$C$8*MAX(0,Setup!$C$5-MAX((Setup!$C$5-Setup!$C$7),Setup!$C$4))),MAX((Setup!$C$5-Setup!$C$7),Setup!$C$4)+($K130-($F130*MAX(0,(Setup!$C$5-Setup!$C$7)-Setup!$C$4)))/($F130*Setup!$C$8),IF(AND($W130&gt;0,$K130&lt;($F130*MAX(0,(Setup!$C$5-Setup!$C$7)-Setup!$C$4))+($F130*Setup!$C$8*MAX(0,Setup!$C$5-MAX((Setup!$C$5-Setup!$C$7),Setup!$C$4)))+($W130/4*MAX(0,Setup!$C$5+4-MAX(Setup!$C$5,Setup!$C$4)))),MAX(Setup!$C$5,Setup!$C$4)+($K130-($F130*MAX(0,(Setup!$C$5-Setup!$C$7)-Setup!$C$4))-($F130*Setup!$C$8*MAX(0,Setup!$C$5-MAX((Setup!$C$5-Setup!$C$7),Setup!$C$4))))/($W130/4),MAX(Setup!$C$5+4,Setup!$C$4)+($K130-($F130*MAX(0,(Setup!$C$5-Setup!$C$7)-Setup!$C$4))-($F130*Setup!$C$8*MAX(0,Setup!$C$5-MAX((Setup!$C$5-Setup!$C$7),Setup!$C$4)))-($W130/4*MAX(0,Setup!$C$5+4-MAX(Setup!$C$5,Setup!$C$4))))/($F130*Setup!$C$14)))))))</f>
        <v/>
      </c>
      <c r="AI130" s="79" t="str">
        <f>IF($R130&lt;&gt;"OK","",IF(AND($L130&lt;&gt;"",$L130&gt;0,ISNUMBER($AH130),$M130&gt;$AH130),"Runs out before the incoming delivery arrives",IF($AB130=0,"OK",IF($K130+IF(AND($L130&lt;&gt;"",$L130&gt;0),IF($M130&lt;=$AG130,$L130,0),0)&lt;($F130*MAX(0,MIN($AG130,(Setup!$C$5-Setup!$C$7))-Setup!$C$4)+$F130*Setup!$C$8*MAX(0,MIN($AG130,Setup!$C$5)-MAX((Setup!$C$5-Setup!$C$7),Setup!$C$4))+$W130/4*MAX(0,MIN($AG130,Setup!$C$5+4)-MAX(Setup!$C$5,Setup!$C$4))+$F130*Setup!$C$14*MAX(0,$AG130-MAX(Setup!$C$5+4,Setup!$C$4))),"Runs out before this order can land","OK"))))</f>
        <v/>
      </c>
      <c r="AJ130" s="78" t="str">
        <f>IF($R130&lt;&gt;"OK","",IF($AB130=0,0,IF($AL130="Too slow: send it all fast",$AB130,$AR130)))</f>
        <v/>
      </c>
      <c r="AK130" s="78" t="str">
        <f>IF($R130&lt;&gt;"OK","",$AB130-$AJ130)</f>
        <v/>
      </c>
      <c r="AL130" s="78" t="str">
        <f>IF($R130&lt;&gt;"OK","",IF($AB130=0,"",IF($AB130-$AR130=0,"Nothing left over",IF($O130="Domestic",IF($AG130&lt;=Setup!$C$6+Setup!$C$20+1,"Later units can go by Domestic","Too slow: send it all fast"),IF($AS130+$N130+Setup!$C$25+Setup!$C$11&lt;=Setup!$C$6+Setup!$C$20+1,"Later units can go by Ocean long",IF($AS130+$N130+Setup!$C$26+Setup!$C$11&lt;=Setup!$C$6+Setup!$C$20+1,"Later units can go by Ocean short",IF($AS130+$N130+Setup!$C$27+Setup!$C$11&lt;=Setup!$C$6+Setup!$C$20+1,"Later units can go by Air",IF($AS130+$N130+Setup!$C$28+Setup!$C$11&lt;=Setup!$C$6+Setup!$C$20+1,"Later units can go by Express","Too slow: send it all fast"))))))))</f>
        <v/>
      </c>
      <c r="AM130" s="94" t="str">
        <f>IF($R130&lt;&gt;"OK","",$E130-$D130)</f>
        <v/>
      </c>
      <c r="AN130" s="95" t="str">
        <f>IF($R130&lt;&gt;"OK","",($E130-$D130)/$D130)</f>
        <v/>
      </c>
      <c r="AO130" s="95" t="str">
        <f>IF($R130&lt;&gt;"OK","",IF($AB130&gt;0,$AN130+IF($C130="Evergreen",1000,0),""))</f>
        <v/>
      </c>
      <c r="AP130" s="78" t="str">
        <f>IF(OR($R130&lt;&gt;"OK",$AO130=""),"",COUNTIF($AO$6:$AO$205,"&gt;"&amp;$AO130)+COUNTIF($AO$6:$AO130,$AO130))</f>
        <v/>
      </c>
      <c r="AQ130" s="78" t="str">
        <f>IF(OR($R130&lt;&gt;"OK",$AP130=""),"",INDEX('Buy list'!$G$5:$G$204,$AP130))</f>
        <v/>
      </c>
      <c r="AR130" s="78" t="str">
        <f>IF($R130&lt;&gt;"OK","",IF($AB130=0,0,MIN($AB130,CEILING(MAX(0,($F130*MAX(0,MIN((Setup!$C$6+1+Setup!$C$20),(Setup!$C$5-Setup!$C$7))-Setup!$C$4)+$F130*Setup!$C$8*MAX(0,MIN((Setup!$C$6+1+Setup!$C$20),Setup!$C$5)-MAX((Setup!$C$5-Setup!$C$7),Setup!$C$4))+$W130/4*MAX(0,MIN((Setup!$C$6+1+Setup!$C$20),Setup!$C$5+4)-MAX(Setup!$C$5,Setup!$C$4))+$F130*Setup!$C$14*MAX(0,(Setup!$C$6+1+Setup!$C$20)-MAX(Setup!$C$5+4,Setup!$C$4)))+$Y130-$K130-IF(AND($L130&lt;&gt;"",$L130&gt;0),IF($M130&lt;=Setup!$C$10,$L130,0),0)),IF(OR($P130="",$P130&lt;=0),1,$P130)))))</f>
        <v/>
      </c>
      <c r="AS130" s="96" t="str">
        <f>IF($R130&lt;&gt;"OK","",IF(AND($O130&lt;&gt;"Domestic",ISNUMBER(Setup!$C$22),Setup!$C$22&gt;Setup!$C$4),Setup!$C$22,Setup!$C$4))</f>
        <v/>
      </c>
      <c r="AT130" s="96" t="str">
        <f>IF($R130&lt;&gt;"OK","",IF($AB130=0,"",IF($O130="Domestic",$AG130,$AS130+$N130+Setup!$C$27+Setup!$C$11)))</f>
        <v/>
      </c>
    </row>
    <row r="131" ht="15" customHeight="1" s="46">
      <c r="A131" s="70" t="n"/>
      <c r="B131" s="70" t="n"/>
      <c r="C131" s="70" t="n"/>
      <c r="D131" s="85" t="n"/>
      <c r="E131" s="85" t="n"/>
      <c r="F131" s="86" t="n"/>
      <c r="G131" s="87" t="n"/>
      <c r="H131" s="88" t="n"/>
      <c r="I131" s="89" t="n"/>
      <c r="J131" s="90" t="n"/>
      <c r="K131" s="87" t="n"/>
      <c r="L131" s="87" t="n"/>
      <c r="M131" s="91" t="n"/>
      <c r="N131" s="92" t="n"/>
      <c r="O131" s="70" t="n"/>
      <c r="P131" s="92" t="n"/>
      <c r="Q131" s="87" t="n"/>
      <c r="R131" s="79" t="str">
        <f>IF($A131="","",IF($C131="","Missing: type",IF(OR($D131="",$D131&lt;=0),"Missing: unit cost",IF($E131="","Missing: unit price",IF($F131="","Missing: daily sales",IF($K131="","Missing: on hand",IF($N131="","Missing: production days",IF($O131="","Missing: freight mode",IF(ISNA(MATCH($O131,Setup!$B$25:$B$29,0)),"Unknown freight mode",IF(AND($L131&lt;&gt;"",$L131&gt;0,$M131=""),"Missing: on-order arrival date","OK"))))))))))</f>
        <v/>
      </c>
      <c r="S131" s="78" t="str">
        <f>IF($R131&lt;&gt;"OK","",IF($G131="","",ROUND($G131/IF(OR($H131="",$H131&lt;=0),4,$H131)*4,0)))</f>
        <v/>
      </c>
      <c r="T131" s="78" t="str">
        <f>IF($R131&lt;&gt;"OK","",ROUND(IF($G131="",$F131*4*Setup!$C$19,$G131/IF(OR($H131="",$H131&lt;=0),4,$H131)*4*(1+IF($I131="",Setup!$C$16,$I131)))*IF($J131="",1,$J131),0))</f>
        <v/>
      </c>
      <c r="U131" s="78" t="str">
        <f>IF($R131&lt;&gt;"OK","",ROUND($T131*Setup!$C$17,0))</f>
        <v/>
      </c>
      <c r="V131" s="78" t="str">
        <f>IF($R131&lt;&gt;"OK","",ROUND($T131*Setup!$C$18,0))</f>
        <v/>
      </c>
      <c r="W131" s="78" t="str">
        <f>IF($R131&lt;&gt;"OK","",IF($C131="Evergreen",$V131,IF($C131="Seasonal or new",$U131,$T131)))</f>
        <v/>
      </c>
      <c r="X131" s="78" t="str">
        <f>IF($R131&lt;&gt;"OK","",ROUND(($F131*MAX(0,MIN(Setup!$C$13+1,(Setup!$C$5-Setup!$C$7))-Setup!$C$4)+$F131*Setup!$C$8*MAX(0,MIN(Setup!$C$13+1,Setup!$C$5)-MAX((Setup!$C$5-Setup!$C$7),Setup!$C$4))+$W131/4*MAX(0,MIN(Setup!$C$13+1,Setup!$C$5+4)-MAX(Setup!$C$5,Setup!$C$4))+$F131*Setup!$C$14*MAX(0,Setup!$C$13+1-MAX(Setup!$C$5+4,Setup!$C$4))),0))</f>
        <v/>
      </c>
      <c r="Y131" s="78" t="str">
        <f>IF($R131&lt;&gt;"OK","",ROUND($F131*Setup!$C$15,0))</f>
        <v/>
      </c>
      <c r="Z131" s="78" t="str">
        <f>IF($R131&lt;&gt;"OK","",IF(AND($L131&lt;&gt;"",$L131&gt;0),IF($M131&lt;=Setup!$C$13,$L131,0),0))</f>
        <v/>
      </c>
      <c r="AA131" s="78" t="str">
        <f>IF($R131&lt;&gt;"OK","",MAX(0,$X131+$Y131-$K131-$Z131))</f>
        <v/>
      </c>
      <c r="AB131" s="78" t="str">
        <f>IF($R131&lt;&gt;"OK","",IF($AA131=0,0,CEILING(MAX($AA131,IF($Q131="",0,$Q131)),IF(OR($P131="",$P131&lt;=0),1,$P131))))</f>
        <v/>
      </c>
      <c r="AC131" s="78" t="str">
        <f>IF($R131&lt;&gt;"OK","",$AB131*$D131)</f>
        <v/>
      </c>
      <c r="AD131" s="93" t="str">
        <f>IF($R131&lt;&gt;"OK","",INDEX(Setup!$D$25:$D$29,MATCH($O131,Setup!$B$25:$B$29,0)))</f>
        <v/>
      </c>
      <c r="AE131" s="93" t="str">
        <f>IF($R131&lt;&gt;"OK","",$AD131-$N131)</f>
        <v/>
      </c>
      <c r="AF131" s="79" t="str">
        <f>IF($R131&lt;&gt;"OK","",IF($AB131=0,"No order needed",IF($AE131&gt;=$AS131,"Order by the deadline",IF(AND($O131&lt;&gt;"Domestic",Setup!$D$27-$N131&gt;=$AS131),"Late by this mode: fly it",IF(Setup!$D$28-$N131&gt;=$AS131,"Late: Express courier only",IF($AG131&lt;Setup!$C$5,"Tight: lands before Black Friday",IF(AND($O131&lt;&gt;"Domestic",$AT131&lt;Setup!$C$5),"Tight: by Air lands before Black Friday",IF($AS131+$N131+Setup!$C$28+Setup!$C$11&lt;Setup!$C$5,"Tight: by Express lands before Black Friday","Too late: ration"))))))))</f>
        <v/>
      </c>
      <c r="AG131" s="93" t="str">
        <f>IF($R131&lt;&gt;"OK","",IF($AB131=0,"",$AS131+$N131+INDEX(Setup!$C$25:$C$29,MATCH($O131,Setup!$B$25:$B$29,0))+Setup!$C$11))</f>
        <v/>
      </c>
      <c r="AH131" s="93" t="str">
        <f>IF($R131&lt;&gt;"OK","",IF($F131&lt;=0,"",INT(IF($K131&lt;($F131*MAX(0,(Setup!$C$5-Setup!$C$7)-Setup!$C$4)),Setup!$C$4+$K131/$F131,IF($K131&lt;($F131*MAX(0,(Setup!$C$5-Setup!$C$7)-Setup!$C$4))+($F131*Setup!$C$8*MAX(0,Setup!$C$5-MAX((Setup!$C$5-Setup!$C$7),Setup!$C$4))),MAX((Setup!$C$5-Setup!$C$7),Setup!$C$4)+($K131-($F131*MAX(0,(Setup!$C$5-Setup!$C$7)-Setup!$C$4)))/($F131*Setup!$C$8),IF(AND($W131&gt;0,$K131&lt;($F131*MAX(0,(Setup!$C$5-Setup!$C$7)-Setup!$C$4))+($F131*Setup!$C$8*MAX(0,Setup!$C$5-MAX((Setup!$C$5-Setup!$C$7),Setup!$C$4)))+($W131/4*MAX(0,Setup!$C$5+4-MAX(Setup!$C$5,Setup!$C$4)))),MAX(Setup!$C$5,Setup!$C$4)+($K131-($F131*MAX(0,(Setup!$C$5-Setup!$C$7)-Setup!$C$4))-($F131*Setup!$C$8*MAX(0,Setup!$C$5-MAX((Setup!$C$5-Setup!$C$7),Setup!$C$4))))/($W131/4),MAX(Setup!$C$5+4,Setup!$C$4)+($K131-($F131*MAX(0,(Setup!$C$5-Setup!$C$7)-Setup!$C$4))-($F131*Setup!$C$8*MAX(0,Setup!$C$5-MAX((Setup!$C$5-Setup!$C$7),Setup!$C$4)))-($W131/4*MAX(0,Setup!$C$5+4-MAX(Setup!$C$5,Setup!$C$4))))/($F131*Setup!$C$14)))))))</f>
        <v/>
      </c>
      <c r="AI131" s="79" t="str">
        <f>IF($R131&lt;&gt;"OK","",IF(AND($L131&lt;&gt;"",$L131&gt;0,ISNUMBER($AH131),$M131&gt;$AH131),"Runs out before the incoming delivery arrives",IF($AB131=0,"OK",IF($K131+IF(AND($L131&lt;&gt;"",$L131&gt;0),IF($M131&lt;=$AG131,$L131,0),0)&lt;($F131*MAX(0,MIN($AG131,(Setup!$C$5-Setup!$C$7))-Setup!$C$4)+$F131*Setup!$C$8*MAX(0,MIN($AG131,Setup!$C$5)-MAX((Setup!$C$5-Setup!$C$7),Setup!$C$4))+$W131/4*MAX(0,MIN($AG131,Setup!$C$5+4)-MAX(Setup!$C$5,Setup!$C$4))+$F131*Setup!$C$14*MAX(0,$AG131-MAX(Setup!$C$5+4,Setup!$C$4))),"Runs out before this order can land","OK"))))</f>
        <v/>
      </c>
      <c r="AJ131" s="78" t="str">
        <f>IF($R131&lt;&gt;"OK","",IF($AB131=0,0,IF($AL131="Too slow: send it all fast",$AB131,$AR131)))</f>
        <v/>
      </c>
      <c r="AK131" s="78" t="str">
        <f>IF($R131&lt;&gt;"OK","",$AB131-$AJ131)</f>
        <v/>
      </c>
      <c r="AL131" s="78" t="str">
        <f>IF($R131&lt;&gt;"OK","",IF($AB131=0,"",IF($AB131-$AR131=0,"Nothing left over",IF($O131="Domestic",IF($AG131&lt;=Setup!$C$6+Setup!$C$20+1,"Later units can go by Domestic","Too slow: send it all fast"),IF($AS131+$N131+Setup!$C$25+Setup!$C$11&lt;=Setup!$C$6+Setup!$C$20+1,"Later units can go by Ocean long",IF($AS131+$N131+Setup!$C$26+Setup!$C$11&lt;=Setup!$C$6+Setup!$C$20+1,"Later units can go by Ocean short",IF($AS131+$N131+Setup!$C$27+Setup!$C$11&lt;=Setup!$C$6+Setup!$C$20+1,"Later units can go by Air",IF($AS131+$N131+Setup!$C$28+Setup!$C$11&lt;=Setup!$C$6+Setup!$C$20+1,"Later units can go by Express","Too slow: send it all fast"))))))))</f>
        <v/>
      </c>
      <c r="AM131" s="94" t="str">
        <f>IF($R131&lt;&gt;"OK","",$E131-$D131)</f>
        <v/>
      </c>
      <c r="AN131" s="95" t="str">
        <f>IF($R131&lt;&gt;"OK","",($E131-$D131)/$D131)</f>
        <v/>
      </c>
      <c r="AO131" s="95" t="str">
        <f>IF($R131&lt;&gt;"OK","",IF($AB131&gt;0,$AN131+IF($C131="Evergreen",1000,0),""))</f>
        <v/>
      </c>
      <c r="AP131" s="78" t="str">
        <f>IF(OR($R131&lt;&gt;"OK",$AO131=""),"",COUNTIF($AO$6:$AO$205,"&gt;"&amp;$AO131)+COUNTIF($AO$6:$AO131,$AO131))</f>
        <v/>
      </c>
      <c r="AQ131" s="78" t="str">
        <f>IF(OR($R131&lt;&gt;"OK",$AP131=""),"",INDEX('Buy list'!$G$5:$G$204,$AP131))</f>
        <v/>
      </c>
      <c r="AR131" s="78" t="str">
        <f>IF($R131&lt;&gt;"OK","",IF($AB131=0,0,MIN($AB131,CEILING(MAX(0,($F131*MAX(0,MIN((Setup!$C$6+1+Setup!$C$20),(Setup!$C$5-Setup!$C$7))-Setup!$C$4)+$F131*Setup!$C$8*MAX(0,MIN((Setup!$C$6+1+Setup!$C$20),Setup!$C$5)-MAX((Setup!$C$5-Setup!$C$7),Setup!$C$4))+$W131/4*MAX(0,MIN((Setup!$C$6+1+Setup!$C$20),Setup!$C$5+4)-MAX(Setup!$C$5,Setup!$C$4))+$F131*Setup!$C$14*MAX(0,(Setup!$C$6+1+Setup!$C$20)-MAX(Setup!$C$5+4,Setup!$C$4)))+$Y131-$K131-IF(AND($L131&lt;&gt;"",$L131&gt;0),IF($M131&lt;=Setup!$C$10,$L131,0),0)),IF(OR($P131="",$P131&lt;=0),1,$P131)))))</f>
        <v/>
      </c>
      <c r="AS131" s="96" t="str">
        <f>IF($R131&lt;&gt;"OK","",IF(AND($O131&lt;&gt;"Domestic",ISNUMBER(Setup!$C$22),Setup!$C$22&gt;Setup!$C$4),Setup!$C$22,Setup!$C$4))</f>
        <v/>
      </c>
      <c r="AT131" s="96" t="str">
        <f>IF($R131&lt;&gt;"OK","",IF($AB131=0,"",IF($O131="Domestic",$AG131,$AS131+$N131+Setup!$C$27+Setup!$C$11)))</f>
        <v/>
      </c>
    </row>
    <row r="132" ht="15" customHeight="1" s="46">
      <c r="A132" s="70" t="n"/>
      <c r="B132" s="70" t="n"/>
      <c r="C132" s="70" t="n"/>
      <c r="D132" s="85" t="n"/>
      <c r="E132" s="85" t="n"/>
      <c r="F132" s="86" t="n"/>
      <c r="G132" s="87" t="n"/>
      <c r="H132" s="88" t="n"/>
      <c r="I132" s="89" t="n"/>
      <c r="J132" s="90" t="n"/>
      <c r="K132" s="87" t="n"/>
      <c r="L132" s="87" t="n"/>
      <c r="M132" s="91" t="n"/>
      <c r="N132" s="92" t="n"/>
      <c r="O132" s="70" t="n"/>
      <c r="P132" s="92" t="n"/>
      <c r="Q132" s="87" t="n"/>
      <c r="R132" s="79" t="str">
        <f>IF($A132="","",IF($C132="","Missing: type",IF(OR($D132="",$D132&lt;=0),"Missing: unit cost",IF($E132="","Missing: unit price",IF($F132="","Missing: daily sales",IF($K132="","Missing: on hand",IF($N132="","Missing: production days",IF($O132="","Missing: freight mode",IF(ISNA(MATCH($O132,Setup!$B$25:$B$29,0)),"Unknown freight mode",IF(AND($L132&lt;&gt;"",$L132&gt;0,$M132=""),"Missing: on-order arrival date","OK"))))))))))</f>
        <v/>
      </c>
      <c r="S132" s="78" t="str">
        <f>IF($R132&lt;&gt;"OK","",IF($G132="","",ROUND($G132/IF(OR($H132="",$H132&lt;=0),4,$H132)*4,0)))</f>
        <v/>
      </c>
      <c r="T132" s="78" t="str">
        <f>IF($R132&lt;&gt;"OK","",ROUND(IF($G132="",$F132*4*Setup!$C$19,$G132/IF(OR($H132="",$H132&lt;=0),4,$H132)*4*(1+IF($I132="",Setup!$C$16,$I132)))*IF($J132="",1,$J132),0))</f>
        <v/>
      </c>
      <c r="U132" s="78" t="str">
        <f>IF($R132&lt;&gt;"OK","",ROUND($T132*Setup!$C$17,0))</f>
        <v/>
      </c>
      <c r="V132" s="78" t="str">
        <f>IF($R132&lt;&gt;"OK","",ROUND($T132*Setup!$C$18,0))</f>
        <v/>
      </c>
      <c r="W132" s="78" t="str">
        <f>IF($R132&lt;&gt;"OK","",IF($C132="Evergreen",$V132,IF($C132="Seasonal or new",$U132,$T132)))</f>
        <v/>
      </c>
      <c r="X132" s="78" t="str">
        <f>IF($R132&lt;&gt;"OK","",ROUND(($F132*MAX(0,MIN(Setup!$C$13+1,(Setup!$C$5-Setup!$C$7))-Setup!$C$4)+$F132*Setup!$C$8*MAX(0,MIN(Setup!$C$13+1,Setup!$C$5)-MAX((Setup!$C$5-Setup!$C$7),Setup!$C$4))+$W132/4*MAX(0,MIN(Setup!$C$13+1,Setup!$C$5+4)-MAX(Setup!$C$5,Setup!$C$4))+$F132*Setup!$C$14*MAX(0,Setup!$C$13+1-MAX(Setup!$C$5+4,Setup!$C$4))),0))</f>
        <v/>
      </c>
      <c r="Y132" s="78" t="str">
        <f>IF($R132&lt;&gt;"OK","",ROUND($F132*Setup!$C$15,0))</f>
        <v/>
      </c>
      <c r="Z132" s="78" t="str">
        <f>IF($R132&lt;&gt;"OK","",IF(AND($L132&lt;&gt;"",$L132&gt;0),IF($M132&lt;=Setup!$C$13,$L132,0),0))</f>
        <v/>
      </c>
      <c r="AA132" s="78" t="str">
        <f>IF($R132&lt;&gt;"OK","",MAX(0,$X132+$Y132-$K132-$Z132))</f>
        <v/>
      </c>
      <c r="AB132" s="78" t="str">
        <f>IF($R132&lt;&gt;"OK","",IF($AA132=0,0,CEILING(MAX($AA132,IF($Q132="",0,$Q132)),IF(OR($P132="",$P132&lt;=0),1,$P132))))</f>
        <v/>
      </c>
      <c r="AC132" s="78" t="str">
        <f>IF($R132&lt;&gt;"OK","",$AB132*$D132)</f>
        <v/>
      </c>
      <c r="AD132" s="93" t="str">
        <f>IF($R132&lt;&gt;"OK","",INDEX(Setup!$D$25:$D$29,MATCH($O132,Setup!$B$25:$B$29,0)))</f>
        <v/>
      </c>
      <c r="AE132" s="93" t="str">
        <f>IF($R132&lt;&gt;"OK","",$AD132-$N132)</f>
        <v/>
      </c>
      <c r="AF132" s="79" t="str">
        <f>IF($R132&lt;&gt;"OK","",IF($AB132=0,"No order needed",IF($AE132&gt;=$AS132,"Order by the deadline",IF(AND($O132&lt;&gt;"Domestic",Setup!$D$27-$N132&gt;=$AS132),"Late by this mode: fly it",IF(Setup!$D$28-$N132&gt;=$AS132,"Late: Express courier only",IF($AG132&lt;Setup!$C$5,"Tight: lands before Black Friday",IF(AND($O132&lt;&gt;"Domestic",$AT132&lt;Setup!$C$5),"Tight: by Air lands before Black Friday",IF($AS132+$N132+Setup!$C$28+Setup!$C$11&lt;Setup!$C$5,"Tight: by Express lands before Black Friday","Too late: ration"))))))))</f>
        <v/>
      </c>
      <c r="AG132" s="93" t="str">
        <f>IF($R132&lt;&gt;"OK","",IF($AB132=0,"",$AS132+$N132+INDEX(Setup!$C$25:$C$29,MATCH($O132,Setup!$B$25:$B$29,0))+Setup!$C$11))</f>
        <v/>
      </c>
      <c r="AH132" s="93" t="str">
        <f>IF($R132&lt;&gt;"OK","",IF($F132&lt;=0,"",INT(IF($K132&lt;($F132*MAX(0,(Setup!$C$5-Setup!$C$7)-Setup!$C$4)),Setup!$C$4+$K132/$F132,IF($K132&lt;($F132*MAX(0,(Setup!$C$5-Setup!$C$7)-Setup!$C$4))+($F132*Setup!$C$8*MAX(0,Setup!$C$5-MAX((Setup!$C$5-Setup!$C$7),Setup!$C$4))),MAX((Setup!$C$5-Setup!$C$7),Setup!$C$4)+($K132-($F132*MAX(0,(Setup!$C$5-Setup!$C$7)-Setup!$C$4)))/($F132*Setup!$C$8),IF(AND($W132&gt;0,$K132&lt;($F132*MAX(0,(Setup!$C$5-Setup!$C$7)-Setup!$C$4))+($F132*Setup!$C$8*MAX(0,Setup!$C$5-MAX((Setup!$C$5-Setup!$C$7),Setup!$C$4)))+($W132/4*MAX(0,Setup!$C$5+4-MAX(Setup!$C$5,Setup!$C$4)))),MAX(Setup!$C$5,Setup!$C$4)+($K132-($F132*MAX(0,(Setup!$C$5-Setup!$C$7)-Setup!$C$4))-($F132*Setup!$C$8*MAX(0,Setup!$C$5-MAX((Setup!$C$5-Setup!$C$7),Setup!$C$4))))/($W132/4),MAX(Setup!$C$5+4,Setup!$C$4)+($K132-($F132*MAX(0,(Setup!$C$5-Setup!$C$7)-Setup!$C$4))-($F132*Setup!$C$8*MAX(0,Setup!$C$5-MAX((Setup!$C$5-Setup!$C$7),Setup!$C$4)))-($W132/4*MAX(0,Setup!$C$5+4-MAX(Setup!$C$5,Setup!$C$4))))/($F132*Setup!$C$14)))))))</f>
        <v/>
      </c>
      <c r="AI132" s="79" t="str">
        <f>IF($R132&lt;&gt;"OK","",IF(AND($L132&lt;&gt;"",$L132&gt;0,ISNUMBER($AH132),$M132&gt;$AH132),"Runs out before the incoming delivery arrives",IF($AB132=0,"OK",IF($K132+IF(AND($L132&lt;&gt;"",$L132&gt;0),IF($M132&lt;=$AG132,$L132,0),0)&lt;($F132*MAX(0,MIN($AG132,(Setup!$C$5-Setup!$C$7))-Setup!$C$4)+$F132*Setup!$C$8*MAX(0,MIN($AG132,Setup!$C$5)-MAX((Setup!$C$5-Setup!$C$7),Setup!$C$4))+$W132/4*MAX(0,MIN($AG132,Setup!$C$5+4)-MAX(Setup!$C$5,Setup!$C$4))+$F132*Setup!$C$14*MAX(0,$AG132-MAX(Setup!$C$5+4,Setup!$C$4))),"Runs out before this order can land","OK"))))</f>
        <v/>
      </c>
      <c r="AJ132" s="78" t="str">
        <f>IF($R132&lt;&gt;"OK","",IF($AB132=0,0,IF($AL132="Too slow: send it all fast",$AB132,$AR132)))</f>
        <v/>
      </c>
      <c r="AK132" s="78" t="str">
        <f>IF($R132&lt;&gt;"OK","",$AB132-$AJ132)</f>
        <v/>
      </c>
      <c r="AL132" s="78" t="str">
        <f>IF($R132&lt;&gt;"OK","",IF($AB132=0,"",IF($AB132-$AR132=0,"Nothing left over",IF($O132="Domestic",IF($AG132&lt;=Setup!$C$6+Setup!$C$20+1,"Later units can go by Domestic","Too slow: send it all fast"),IF($AS132+$N132+Setup!$C$25+Setup!$C$11&lt;=Setup!$C$6+Setup!$C$20+1,"Later units can go by Ocean long",IF($AS132+$N132+Setup!$C$26+Setup!$C$11&lt;=Setup!$C$6+Setup!$C$20+1,"Later units can go by Ocean short",IF($AS132+$N132+Setup!$C$27+Setup!$C$11&lt;=Setup!$C$6+Setup!$C$20+1,"Later units can go by Air",IF($AS132+$N132+Setup!$C$28+Setup!$C$11&lt;=Setup!$C$6+Setup!$C$20+1,"Later units can go by Express","Too slow: send it all fast"))))))))</f>
        <v/>
      </c>
      <c r="AM132" s="94" t="str">
        <f>IF($R132&lt;&gt;"OK","",$E132-$D132)</f>
        <v/>
      </c>
      <c r="AN132" s="95" t="str">
        <f>IF($R132&lt;&gt;"OK","",($E132-$D132)/$D132)</f>
        <v/>
      </c>
      <c r="AO132" s="95" t="str">
        <f>IF($R132&lt;&gt;"OK","",IF($AB132&gt;0,$AN132+IF($C132="Evergreen",1000,0),""))</f>
        <v/>
      </c>
      <c r="AP132" s="78" t="str">
        <f>IF(OR($R132&lt;&gt;"OK",$AO132=""),"",COUNTIF($AO$6:$AO$205,"&gt;"&amp;$AO132)+COUNTIF($AO$6:$AO132,$AO132))</f>
        <v/>
      </c>
      <c r="AQ132" s="78" t="str">
        <f>IF(OR($R132&lt;&gt;"OK",$AP132=""),"",INDEX('Buy list'!$G$5:$G$204,$AP132))</f>
        <v/>
      </c>
      <c r="AR132" s="78" t="str">
        <f>IF($R132&lt;&gt;"OK","",IF($AB132=0,0,MIN($AB132,CEILING(MAX(0,($F132*MAX(0,MIN((Setup!$C$6+1+Setup!$C$20),(Setup!$C$5-Setup!$C$7))-Setup!$C$4)+$F132*Setup!$C$8*MAX(0,MIN((Setup!$C$6+1+Setup!$C$20),Setup!$C$5)-MAX((Setup!$C$5-Setup!$C$7),Setup!$C$4))+$W132/4*MAX(0,MIN((Setup!$C$6+1+Setup!$C$20),Setup!$C$5+4)-MAX(Setup!$C$5,Setup!$C$4))+$F132*Setup!$C$14*MAX(0,(Setup!$C$6+1+Setup!$C$20)-MAX(Setup!$C$5+4,Setup!$C$4)))+$Y132-$K132-IF(AND($L132&lt;&gt;"",$L132&gt;0),IF($M132&lt;=Setup!$C$10,$L132,0),0)),IF(OR($P132="",$P132&lt;=0),1,$P132)))))</f>
        <v/>
      </c>
      <c r="AS132" s="96" t="str">
        <f>IF($R132&lt;&gt;"OK","",IF(AND($O132&lt;&gt;"Domestic",ISNUMBER(Setup!$C$22),Setup!$C$22&gt;Setup!$C$4),Setup!$C$22,Setup!$C$4))</f>
        <v/>
      </c>
      <c r="AT132" s="96" t="str">
        <f>IF($R132&lt;&gt;"OK","",IF($AB132=0,"",IF($O132="Domestic",$AG132,$AS132+$N132+Setup!$C$27+Setup!$C$11)))</f>
        <v/>
      </c>
    </row>
    <row r="133" ht="15" customHeight="1" s="46">
      <c r="A133" s="70" t="n"/>
      <c r="B133" s="70" t="n"/>
      <c r="C133" s="70" t="n"/>
      <c r="D133" s="85" t="n"/>
      <c r="E133" s="85" t="n"/>
      <c r="F133" s="86" t="n"/>
      <c r="G133" s="87" t="n"/>
      <c r="H133" s="88" t="n"/>
      <c r="I133" s="89" t="n"/>
      <c r="J133" s="90" t="n"/>
      <c r="K133" s="87" t="n"/>
      <c r="L133" s="87" t="n"/>
      <c r="M133" s="91" t="n"/>
      <c r="N133" s="92" t="n"/>
      <c r="O133" s="70" t="n"/>
      <c r="P133" s="92" t="n"/>
      <c r="Q133" s="87" t="n"/>
      <c r="R133" s="79" t="str">
        <f>IF($A133="","",IF($C133="","Missing: type",IF(OR($D133="",$D133&lt;=0),"Missing: unit cost",IF($E133="","Missing: unit price",IF($F133="","Missing: daily sales",IF($K133="","Missing: on hand",IF($N133="","Missing: production days",IF($O133="","Missing: freight mode",IF(ISNA(MATCH($O133,Setup!$B$25:$B$29,0)),"Unknown freight mode",IF(AND($L133&lt;&gt;"",$L133&gt;0,$M133=""),"Missing: on-order arrival date","OK"))))))))))</f>
        <v/>
      </c>
      <c r="S133" s="78" t="str">
        <f>IF($R133&lt;&gt;"OK","",IF($G133="","",ROUND($G133/IF(OR($H133="",$H133&lt;=0),4,$H133)*4,0)))</f>
        <v/>
      </c>
      <c r="T133" s="78" t="str">
        <f>IF($R133&lt;&gt;"OK","",ROUND(IF($G133="",$F133*4*Setup!$C$19,$G133/IF(OR($H133="",$H133&lt;=0),4,$H133)*4*(1+IF($I133="",Setup!$C$16,$I133)))*IF($J133="",1,$J133),0))</f>
        <v/>
      </c>
      <c r="U133" s="78" t="str">
        <f>IF($R133&lt;&gt;"OK","",ROUND($T133*Setup!$C$17,0))</f>
        <v/>
      </c>
      <c r="V133" s="78" t="str">
        <f>IF($R133&lt;&gt;"OK","",ROUND($T133*Setup!$C$18,0))</f>
        <v/>
      </c>
      <c r="W133" s="78" t="str">
        <f>IF($R133&lt;&gt;"OK","",IF($C133="Evergreen",$V133,IF($C133="Seasonal or new",$U133,$T133)))</f>
        <v/>
      </c>
      <c r="X133" s="78" t="str">
        <f>IF($R133&lt;&gt;"OK","",ROUND(($F133*MAX(0,MIN(Setup!$C$13+1,(Setup!$C$5-Setup!$C$7))-Setup!$C$4)+$F133*Setup!$C$8*MAX(0,MIN(Setup!$C$13+1,Setup!$C$5)-MAX((Setup!$C$5-Setup!$C$7),Setup!$C$4))+$W133/4*MAX(0,MIN(Setup!$C$13+1,Setup!$C$5+4)-MAX(Setup!$C$5,Setup!$C$4))+$F133*Setup!$C$14*MAX(0,Setup!$C$13+1-MAX(Setup!$C$5+4,Setup!$C$4))),0))</f>
        <v/>
      </c>
      <c r="Y133" s="78" t="str">
        <f>IF($R133&lt;&gt;"OK","",ROUND($F133*Setup!$C$15,0))</f>
        <v/>
      </c>
      <c r="Z133" s="78" t="str">
        <f>IF($R133&lt;&gt;"OK","",IF(AND($L133&lt;&gt;"",$L133&gt;0),IF($M133&lt;=Setup!$C$13,$L133,0),0))</f>
        <v/>
      </c>
      <c r="AA133" s="78" t="str">
        <f>IF($R133&lt;&gt;"OK","",MAX(0,$X133+$Y133-$K133-$Z133))</f>
        <v/>
      </c>
      <c r="AB133" s="78" t="str">
        <f>IF($R133&lt;&gt;"OK","",IF($AA133=0,0,CEILING(MAX($AA133,IF($Q133="",0,$Q133)),IF(OR($P133="",$P133&lt;=0),1,$P133))))</f>
        <v/>
      </c>
      <c r="AC133" s="78" t="str">
        <f>IF($R133&lt;&gt;"OK","",$AB133*$D133)</f>
        <v/>
      </c>
      <c r="AD133" s="93" t="str">
        <f>IF($R133&lt;&gt;"OK","",INDEX(Setup!$D$25:$D$29,MATCH($O133,Setup!$B$25:$B$29,0)))</f>
        <v/>
      </c>
      <c r="AE133" s="93" t="str">
        <f>IF($R133&lt;&gt;"OK","",$AD133-$N133)</f>
        <v/>
      </c>
      <c r="AF133" s="79" t="str">
        <f>IF($R133&lt;&gt;"OK","",IF($AB133=0,"No order needed",IF($AE133&gt;=$AS133,"Order by the deadline",IF(AND($O133&lt;&gt;"Domestic",Setup!$D$27-$N133&gt;=$AS133),"Late by this mode: fly it",IF(Setup!$D$28-$N133&gt;=$AS133,"Late: Express courier only",IF($AG133&lt;Setup!$C$5,"Tight: lands before Black Friday",IF(AND($O133&lt;&gt;"Domestic",$AT133&lt;Setup!$C$5),"Tight: by Air lands before Black Friday",IF($AS133+$N133+Setup!$C$28+Setup!$C$11&lt;Setup!$C$5,"Tight: by Express lands before Black Friday","Too late: ration"))))))))</f>
        <v/>
      </c>
      <c r="AG133" s="93" t="str">
        <f>IF($R133&lt;&gt;"OK","",IF($AB133=0,"",$AS133+$N133+INDEX(Setup!$C$25:$C$29,MATCH($O133,Setup!$B$25:$B$29,0))+Setup!$C$11))</f>
        <v/>
      </c>
      <c r="AH133" s="93" t="str">
        <f>IF($R133&lt;&gt;"OK","",IF($F133&lt;=0,"",INT(IF($K133&lt;($F133*MAX(0,(Setup!$C$5-Setup!$C$7)-Setup!$C$4)),Setup!$C$4+$K133/$F133,IF($K133&lt;($F133*MAX(0,(Setup!$C$5-Setup!$C$7)-Setup!$C$4))+($F133*Setup!$C$8*MAX(0,Setup!$C$5-MAX((Setup!$C$5-Setup!$C$7),Setup!$C$4))),MAX((Setup!$C$5-Setup!$C$7),Setup!$C$4)+($K133-($F133*MAX(0,(Setup!$C$5-Setup!$C$7)-Setup!$C$4)))/($F133*Setup!$C$8),IF(AND($W133&gt;0,$K133&lt;($F133*MAX(0,(Setup!$C$5-Setup!$C$7)-Setup!$C$4))+($F133*Setup!$C$8*MAX(0,Setup!$C$5-MAX((Setup!$C$5-Setup!$C$7),Setup!$C$4)))+($W133/4*MAX(0,Setup!$C$5+4-MAX(Setup!$C$5,Setup!$C$4)))),MAX(Setup!$C$5,Setup!$C$4)+($K133-($F133*MAX(0,(Setup!$C$5-Setup!$C$7)-Setup!$C$4))-($F133*Setup!$C$8*MAX(0,Setup!$C$5-MAX((Setup!$C$5-Setup!$C$7),Setup!$C$4))))/($W133/4),MAX(Setup!$C$5+4,Setup!$C$4)+($K133-($F133*MAX(0,(Setup!$C$5-Setup!$C$7)-Setup!$C$4))-($F133*Setup!$C$8*MAX(0,Setup!$C$5-MAX((Setup!$C$5-Setup!$C$7),Setup!$C$4)))-($W133/4*MAX(0,Setup!$C$5+4-MAX(Setup!$C$5,Setup!$C$4))))/($F133*Setup!$C$14)))))))</f>
        <v/>
      </c>
      <c r="AI133" s="79" t="str">
        <f>IF($R133&lt;&gt;"OK","",IF(AND($L133&lt;&gt;"",$L133&gt;0,ISNUMBER($AH133),$M133&gt;$AH133),"Runs out before the incoming delivery arrives",IF($AB133=0,"OK",IF($K133+IF(AND($L133&lt;&gt;"",$L133&gt;0),IF($M133&lt;=$AG133,$L133,0),0)&lt;($F133*MAX(0,MIN($AG133,(Setup!$C$5-Setup!$C$7))-Setup!$C$4)+$F133*Setup!$C$8*MAX(0,MIN($AG133,Setup!$C$5)-MAX((Setup!$C$5-Setup!$C$7),Setup!$C$4))+$W133/4*MAX(0,MIN($AG133,Setup!$C$5+4)-MAX(Setup!$C$5,Setup!$C$4))+$F133*Setup!$C$14*MAX(0,$AG133-MAX(Setup!$C$5+4,Setup!$C$4))),"Runs out before this order can land","OK"))))</f>
        <v/>
      </c>
      <c r="AJ133" s="78" t="str">
        <f>IF($R133&lt;&gt;"OK","",IF($AB133=0,0,IF($AL133="Too slow: send it all fast",$AB133,$AR133)))</f>
        <v/>
      </c>
      <c r="AK133" s="78" t="str">
        <f>IF($R133&lt;&gt;"OK","",$AB133-$AJ133)</f>
        <v/>
      </c>
      <c r="AL133" s="78" t="str">
        <f>IF($R133&lt;&gt;"OK","",IF($AB133=0,"",IF($AB133-$AR133=0,"Nothing left over",IF($O133="Domestic",IF($AG133&lt;=Setup!$C$6+Setup!$C$20+1,"Later units can go by Domestic","Too slow: send it all fast"),IF($AS133+$N133+Setup!$C$25+Setup!$C$11&lt;=Setup!$C$6+Setup!$C$20+1,"Later units can go by Ocean long",IF($AS133+$N133+Setup!$C$26+Setup!$C$11&lt;=Setup!$C$6+Setup!$C$20+1,"Later units can go by Ocean short",IF($AS133+$N133+Setup!$C$27+Setup!$C$11&lt;=Setup!$C$6+Setup!$C$20+1,"Later units can go by Air",IF($AS133+$N133+Setup!$C$28+Setup!$C$11&lt;=Setup!$C$6+Setup!$C$20+1,"Later units can go by Express","Too slow: send it all fast"))))))))</f>
        <v/>
      </c>
      <c r="AM133" s="94" t="str">
        <f>IF($R133&lt;&gt;"OK","",$E133-$D133)</f>
        <v/>
      </c>
      <c r="AN133" s="95" t="str">
        <f>IF($R133&lt;&gt;"OK","",($E133-$D133)/$D133)</f>
        <v/>
      </c>
      <c r="AO133" s="95" t="str">
        <f>IF($R133&lt;&gt;"OK","",IF($AB133&gt;0,$AN133+IF($C133="Evergreen",1000,0),""))</f>
        <v/>
      </c>
      <c r="AP133" s="78" t="str">
        <f>IF(OR($R133&lt;&gt;"OK",$AO133=""),"",COUNTIF($AO$6:$AO$205,"&gt;"&amp;$AO133)+COUNTIF($AO$6:$AO133,$AO133))</f>
        <v/>
      </c>
      <c r="AQ133" s="78" t="str">
        <f>IF(OR($R133&lt;&gt;"OK",$AP133=""),"",INDEX('Buy list'!$G$5:$G$204,$AP133))</f>
        <v/>
      </c>
      <c r="AR133" s="78" t="str">
        <f>IF($R133&lt;&gt;"OK","",IF($AB133=0,0,MIN($AB133,CEILING(MAX(0,($F133*MAX(0,MIN((Setup!$C$6+1+Setup!$C$20),(Setup!$C$5-Setup!$C$7))-Setup!$C$4)+$F133*Setup!$C$8*MAX(0,MIN((Setup!$C$6+1+Setup!$C$20),Setup!$C$5)-MAX((Setup!$C$5-Setup!$C$7),Setup!$C$4))+$W133/4*MAX(0,MIN((Setup!$C$6+1+Setup!$C$20),Setup!$C$5+4)-MAX(Setup!$C$5,Setup!$C$4))+$F133*Setup!$C$14*MAX(0,(Setup!$C$6+1+Setup!$C$20)-MAX(Setup!$C$5+4,Setup!$C$4)))+$Y133-$K133-IF(AND($L133&lt;&gt;"",$L133&gt;0),IF($M133&lt;=Setup!$C$10,$L133,0),0)),IF(OR($P133="",$P133&lt;=0),1,$P133)))))</f>
        <v/>
      </c>
      <c r="AS133" s="96" t="str">
        <f>IF($R133&lt;&gt;"OK","",IF(AND($O133&lt;&gt;"Domestic",ISNUMBER(Setup!$C$22),Setup!$C$22&gt;Setup!$C$4),Setup!$C$22,Setup!$C$4))</f>
        <v/>
      </c>
      <c r="AT133" s="96" t="str">
        <f>IF($R133&lt;&gt;"OK","",IF($AB133=0,"",IF($O133="Domestic",$AG133,$AS133+$N133+Setup!$C$27+Setup!$C$11)))</f>
        <v/>
      </c>
    </row>
    <row r="134" ht="15" customHeight="1" s="46">
      <c r="A134" s="70" t="n"/>
      <c r="B134" s="70" t="n"/>
      <c r="C134" s="70" t="n"/>
      <c r="D134" s="85" t="n"/>
      <c r="E134" s="85" t="n"/>
      <c r="F134" s="86" t="n"/>
      <c r="G134" s="87" t="n"/>
      <c r="H134" s="88" t="n"/>
      <c r="I134" s="89" t="n"/>
      <c r="J134" s="90" t="n"/>
      <c r="K134" s="87" t="n"/>
      <c r="L134" s="87" t="n"/>
      <c r="M134" s="91" t="n"/>
      <c r="N134" s="92" t="n"/>
      <c r="O134" s="70" t="n"/>
      <c r="P134" s="92" t="n"/>
      <c r="Q134" s="87" t="n"/>
      <c r="R134" s="79" t="str">
        <f>IF($A134="","",IF($C134="","Missing: type",IF(OR($D134="",$D134&lt;=0),"Missing: unit cost",IF($E134="","Missing: unit price",IF($F134="","Missing: daily sales",IF($K134="","Missing: on hand",IF($N134="","Missing: production days",IF($O134="","Missing: freight mode",IF(ISNA(MATCH($O134,Setup!$B$25:$B$29,0)),"Unknown freight mode",IF(AND($L134&lt;&gt;"",$L134&gt;0,$M134=""),"Missing: on-order arrival date","OK"))))))))))</f>
        <v/>
      </c>
      <c r="S134" s="78" t="str">
        <f>IF($R134&lt;&gt;"OK","",IF($G134="","",ROUND($G134/IF(OR($H134="",$H134&lt;=0),4,$H134)*4,0)))</f>
        <v/>
      </c>
      <c r="T134" s="78" t="str">
        <f>IF($R134&lt;&gt;"OK","",ROUND(IF($G134="",$F134*4*Setup!$C$19,$G134/IF(OR($H134="",$H134&lt;=0),4,$H134)*4*(1+IF($I134="",Setup!$C$16,$I134)))*IF($J134="",1,$J134),0))</f>
        <v/>
      </c>
      <c r="U134" s="78" t="str">
        <f>IF($R134&lt;&gt;"OK","",ROUND($T134*Setup!$C$17,0))</f>
        <v/>
      </c>
      <c r="V134" s="78" t="str">
        <f>IF($R134&lt;&gt;"OK","",ROUND($T134*Setup!$C$18,0))</f>
        <v/>
      </c>
      <c r="W134" s="78" t="str">
        <f>IF($R134&lt;&gt;"OK","",IF($C134="Evergreen",$V134,IF($C134="Seasonal or new",$U134,$T134)))</f>
        <v/>
      </c>
      <c r="X134" s="78" t="str">
        <f>IF($R134&lt;&gt;"OK","",ROUND(($F134*MAX(0,MIN(Setup!$C$13+1,(Setup!$C$5-Setup!$C$7))-Setup!$C$4)+$F134*Setup!$C$8*MAX(0,MIN(Setup!$C$13+1,Setup!$C$5)-MAX((Setup!$C$5-Setup!$C$7),Setup!$C$4))+$W134/4*MAX(0,MIN(Setup!$C$13+1,Setup!$C$5+4)-MAX(Setup!$C$5,Setup!$C$4))+$F134*Setup!$C$14*MAX(0,Setup!$C$13+1-MAX(Setup!$C$5+4,Setup!$C$4))),0))</f>
        <v/>
      </c>
      <c r="Y134" s="78" t="str">
        <f>IF($R134&lt;&gt;"OK","",ROUND($F134*Setup!$C$15,0))</f>
        <v/>
      </c>
      <c r="Z134" s="78" t="str">
        <f>IF($R134&lt;&gt;"OK","",IF(AND($L134&lt;&gt;"",$L134&gt;0),IF($M134&lt;=Setup!$C$13,$L134,0),0))</f>
        <v/>
      </c>
      <c r="AA134" s="78" t="str">
        <f>IF($R134&lt;&gt;"OK","",MAX(0,$X134+$Y134-$K134-$Z134))</f>
        <v/>
      </c>
      <c r="AB134" s="78" t="str">
        <f>IF($R134&lt;&gt;"OK","",IF($AA134=0,0,CEILING(MAX($AA134,IF($Q134="",0,$Q134)),IF(OR($P134="",$P134&lt;=0),1,$P134))))</f>
        <v/>
      </c>
      <c r="AC134" s="78" t="str">
        <f>IF($R134&lt;&gt;"OK","",$AB134*$D134)</f>
        <v/>
      </c>
      <c r="AD134" s="93" t="str">
        <f>IF($R134&lt;&gt;"OK","",INDEX(Setup!$D$25:$D$29,MATCH($O134,Setup!$B$25:$B$29,0)))</f>
        <v/>
      </c>
      <c r="AE134" s="93" t="str">
        <f>IF($R134&lt;&gt;"OK","",$AD134-$N134)</f>
        <v/>
      </c>
      <c r="AF134" s="79" t="str">
        <f>IF($R134&lt;&gt;"OK","",IF($AB134=0,"No order needed",IF($AE134&gt;=$AS134,"Order by the deadline",IF(AND($O134&lt;&gt;"Domestic",Setup!$D$27-$N134&gt;=$AS134),"Late by this mode: fly it",IF(Setup!$D$28-$N134&gt;=$AS134,"Late: Express courier only",IF($AG134&lt;Setup!$C$5,"Tight: lands before Black Friday",IF(AND($O134&lt;&gt;"Domestic",$AT134&lt;Setup!$C$5),"Tight: by Air lands before Black Friday",IF($AS134+$N134+Setup!$C$28+Setup!$C$11&lt;Setup!$C$5,"Tight: by Express lands before Black Friday","Too late: ration"))))))))</f>
        <v/>
      </c>
      <c r="AG134" s="93" t="str">
        <f>IF($R134&lt;&gt;"OK","",IF($AB134=0,"",$AS134+$N134+INDEX(Setup!$C$25:$C$29,MATCH($O134,Setup!$B$25:$B$29,0))+Setup!$C$11))</f>
        <v/>
      </c>
      <c r="AH134" s="93" t="str">
        <f>IF($R134&lt;&gt;"OK","",IF($F134&lt;=0,"",INT(IF($K134&lt;($F134*MAX(0,(Setup!$C$5-Setup!$C$7)-Setup!$C$4)),Setup!$C$4+$K134/$F134,IF($K134&lt;($F134*MAX(0,(Setup!$C$5-Setup!$C$7)-Setup!$C$4))+($F134*Setup!$C$8*MAX(0,Setup!$C$5-MAX((Setup!$C$5-Setup!$C$7),Setup!$C$4))),MAX((Setup!$C$5-Setup!$C$7),Setup!$C$4)+($K134-($F134*MAX(0,(Setup!$C$5-Setup!$C$7)-Setup!$C$4)))/($F134*Setup!$C$8),IF(AND($W134&gt;0,$K134&lt;($F134*MAX(0,(Setup!$C$5-Setup!$C$7)-Setup!$C$4))+($F134*Setup!$C$8*MAX(0,Setup!$C$5-MAX((Setup!$C$5-Setup!$C$7),Setup!$C$4)))+($W134/4*MAX(0,Setup!$C$5+4-MAX(Setup!$C$5,Setup!$C$4)))),MAX(Setup!$C$5,Setup!$C$4)+($K134-($F134*MAX(0,(Setup!$C$5-Setup!$C$7)-Setup!$C$4))-($F134*Setup!$C$8*MAX(0,Setup!$C$5-MAX((Setup!$C$5-Setup!$C$7),Setup!$C$4))))/($W134/4),MAX(Setup!$C$5+4,Setup!$C$4)+($K134-($F134*MAX(0,(Setup!$C$5-Setup!$C$7)-Setup!$C$4))-($F134*Setup!$C$8*MAX(0,Setup!$C$5-MAX((Setup!$C$5-Setup!$C$7),Setup!$C$4)))-($W134/4*MAX(0,Setup!$C$5+4-MAX(Setup!$C$5,Setup!$C$4))))/($F134*Setup!$C$14)))))))</f>
        <v/>
      </c>
      <c r="AI134" s="79" t="str">
        <f>IF($R134&lt;&gt;"OK","",IF(AND($L134&lt;&gt;"",$L134&gt;0,ISNUMBER($AH134),$M134&gt;$AH134),"Runs out before the incoming delivery arrives",IF($AB134=0,"OK",IF($K134+IF(AND($L134&lt;&gt;"",$L134&gt;0),IF($M134&lt;=$AG134,$L134,0),0)&lt;($F134*MAX(0,MIN($AG134,(Setup!$C$5-Setup!$C$7))-Setup!$C$4)+$F134*Setup!$C$8*MAX(0,MIN($AG134,Setup!$C$5)-MAX((Setup!$C$5-Setup!$C$7),Setup!$C$4))+$W134/4*MAX(0,MIN($AG134,Setup!$C$5+4)-MAX(Setup!$C$5,Setup!$C$4))+$F134*Setup!$C$14*MAX(0,$AG134-MAX(Setup!$C$5+4,Setup!$C$4))),"Runs out before this order can land","OK"))))</f>
        <v/>
      </c>
      <c r="AJ134" s="78" t="str">
        <f>IF($R134&lt;&gt;"OK","",IF($AB134=0,0,IF($AL134="Too slow: send it all fast",$AB134,$AR134)))</f>
        <v/>
      </c>
      <c r="AK134" s="78" t="str">
        <f>IF($R134&lt;&gt;"OK","",$AB134-$AJ134)</f>
        <v/>
      </c>
      <c r="AL134" s="78" t="str">
        <f>IF($R134&lt;&gt;"OK","",IF($AB134=0,"",IF($AB134-$AR134=0,"Nothing left over",IF($O134="Domestic",IF($AG134&lt;=Setup!$C$6+Setup!$C$20+1,"Later units can go by Domestic","Too slow: send it all fast"),IF($AS134+$N134+Setup!$C$25+Setup!$C$11&lt;=Setup!$C$6+Setup!$C$20+1,"Later units can go by Ocean long",IF($AS134+$N134+Setup!$C$26+Setup!$C$11&lt;=Setup!$C$6+Setup!$C$20+1,"Later units can go by Ocean short",IF($AS134+$N134+Setup!$C$27+Setup!$C$11&lt;=Setup!$C$6+Setup!$C$20+1,"Later units can go by Air",IF($AS134+$N134+Setup!$C$28+Setup!$C$11&lt;=Setup!$C$6+Setup!$C$20+1,"Later units can go by Express","Too slow: send it all fast"))))))))</f>
        <v/>
      </c>
      <c r="AM134" s="94" t="str">
        <f>IF($R134&lt;&gt;"OK","",$E134-$D134)</f>
        <v/>
      </c>
      <c r="AN134" s="95" t="str">
        <f>IF($R134&lt;&gt;"OK","",($E134-$D134)/$D134)</f>
        <v/>
      </c>
      <c r="AO134" s="95" t="str">
        <f>IF($R134&lt;&gt;"OK","",IF($AB134&gt;0,$AN134+IF($C134="Evergreen",1000,0),""))</f>
        <v/>
      </c>
      <c r="AP134" s="78" t="str">
        <f>IF(OR($R134&lt;&gt;"OK",$AO134=""),"",COUNTIF($AO$6:$AO$205,"&gt;"&amp;$AO134)+COUNTIF($AO$6:$AO134,$AO134))</f>
        <v/>
      </c>
      <c r="AQ134" s="78" t="str">
        <f>IF(OR($R134&lt;&gt;"OK",$AP134=""),"",INDEX('Buy list'!$G$5:$G$204,$AP134))</f>
        <v/>
      </c>
      <c r="AR134" s="78" t="str">
        <f>IF($R134&lt;&gt;"OK","",IF($AB134=0,0,MIN($AB134,CEILING(MAX(0,($F134*MAX(0,MIN((Setup!$C$6+1+Setup!$C$20),(Setup!$C$5-Setup!$C$7))-Setup!$C$4)+$F134*Setup!$C$8*MAX(0,MIN((Setup!$C$6+1+Setup!$C$20),Setup!$C$5)-MAX((Setup!$C$5-Setup!$C$7),Setup!$C$4))+$W134/4*MAX(0,MIN((Setup!$C$6+1+Setup!$C$20),Setup!$C$5+4)-MAX(Setup!$C$5,Setup!$C$4))+$F134*Setup!$C$14*MAX(0,(Setup!$C$6+1+Setup!$C$20)-MAX(Setup!$C$5+4,Setup!$C$4)))+$Y134-$K134-IF(AND($L134&lt;&gt;"",$L134&gt;0),IF($M134&lt;=Setup!$C$10,$L134,0),0)),IF(OR($P134="",$P134&lt;=0),1,$P134)))))</f>
        <v/>
      </c>
      <c r="AS134" s="96" t="str">
        <f>IF($R134&lt;&gt;"OK","",IF(AND($O134&lt;&gt;"Domestic",ISNUMBER(Setup!$C$22),Setup!$C$22&gt;Setup!$C$4),Setup!$C$22,Setup!$C$4))</f>
        <v/>
      </c>
      <c r="AT134" s="96" t="str">
        <f>IF($R134&lt;&gt;"OK","",IF($AB134=0,"",IF($O134="Domestic",$AG134,$AS134+$N134+Setup!$C$27+Setup!$C$11)))</f>
        <v/>
      </c>
    </row>
    <row r="135" ht="15" customHeight="1" s="46">
      <c r="A135" s="70" t="n"/>
      <c r="B135" s="70" t="n"/>
      <c r="C135" s="70" t="n"/>
      <c r="D135" s="85" t="n"/>
      <c r="E135" s="85" t="n"/>
      <c r="F135" s="86" t="n"/>
      <c r="G135" s="87" t="n"/>
      <c r="H135" s="88" t="n"/>
      <c r="I135" s="89" t="n"/>
      <c r="J135" s="90" t="n"/>
      <c r="K135" s="87" t="n"/>
      <c r="L135" s="87" t="n"/>
      <c r="M135" s="91" t="n"/>
      <c r="N135" s="92" t="n"/>
      <c r="O135" s="70" t="n"/>
      <c r="P135" s="92" t="n"/>
      <c r="Q135" s="87" t="n"/>
      <c r="R135" s="79" t="str">
        <f>IF($A135="","",IF($C135="","Missing: type",IF(OR($D135="",$D135&lt;=0),"Missing: unit cost",IF($E135="","Missing: unit price",IF($F135="","Missing: daily sales",IF($K135="","Missing: on hand",IF($N135="","Missing: production days",IF($O135="","Missing: freight mode",IF(ISNA(MATCH($O135,Setup!$B$25:$B$29,0)),"Unknown freight mode",IF(AND($L135&lt;&gt;"",$L135&gt;0,$M135=""),"Missing: on-order arrival date","OK"))))))))))</f>
        <v/>
      </c>
      <c r="S135" s="78" t="str">
        <f>IF($R135&lt;&gt;"OK","",IF($G135="","",ROUND($G135/IF(OR($H135="",$H135&lt;=0),4,$H135)*4,0)))</f>
        <v/>
      </c>
      <c r="T135" s="78" t="str">
        <f>IF($R135&lt;&gt;"OK","",ROUND(IF($G135="",$F135*4*Setup!$C$19,$G135/IF(OR($H135="",$H135&lt;=0),4,$H135)*4*(1+IF($I135="",Setup!$C$16,$I135)))*IF($J135="",1,$J135),0))</f>
        <v/>
      </c>
      <c r="U135" s="78" t="str">
        <f>IF($R135&lt;&gt;"OK","",ROUND($T135*Setup!$C$17,0))</f>
        <v/>
      </c>
      <c r="V135" s="78" t="str">
        <f>IF($R135&lt;&gt;"OK","",ROUND($T135*Setup!$C$18,0))</f>
        <v/>
      </c>
      <c r="W135" s="78" t="str">
        <f>IF($R135&lt;&gt;"OK","",IF($C135="Evergreen",$V135,IF($C135="Seasonal or new",$U135,$T135)))</f>
        <v/>
      </c>
      <c r="X135" s="78" t="str">
        <f>IF($R135&lt;&gt;"OK","",ROUND(($F135*MAX(0,MIN(Setup!$C$13+1,(Setup!$C$5-Setup!$C$7))-Setup!$C$4)+$F135*Setup!$C$8*MAX(0,MIN(Setup!$C$13+1,Setup!$C$5)-MAX((Setup!$C$5-Setup!$C$7),Setup!$C$4))+$W135/4*MAX(0,MIN(Setup!$C$13+1,Setup!$C$5+4)-MAX(Setup!$C$5,Setup!$C$4))+$F135*Setup!$C$14*MAX(0,Setup!$C$13+1-MAX(Setup!$C$5+4,Setup!$C$4))),0))</f>
        <v/>
      </c>
      <c r="Y135" s="78" t="str">
        <f>IF($R135&lt;&gt;"OK","",ROUND($F135*Setup!$C$15,0))</f>
        <v/>
      </c>
      <c r="Z135" s="78" t="str">
        <f>IF($R135&lt;&gt;"OK","",IF(AND($L135&lt;&gt;"",$L135&gt;0),IF($M135&lt;=Setup!$C$13,$L135,0),0))</f>
        <v/>
      </c>
      <c r="AA135" s="78" t="str">
        <f>IF($R135&lt;&gt;"OK","",MAX(0,$X135+$Y135-$K135-$Z135))</f>
        <v/>
      </c>
      <c r="AB135" s="78" t="str">
        <f>IF($R135&lt;&gt;"OK","",IF($AA135=0,0,CEILING(MAX($AA135,IF($Q135="",0,$Q135)),IF(OR($P135="",$P135&lt;=0),1,$P135))))</f>
        <v/>
      </c>
      <c r="AC135" s="78" t="str">
        <f>IF($R135&lt;&gt;"OK","",$AB135*$D135)</f>
        <v/>
      </c>
      <c r="AD135" s="93" t="str">
        <f>IF($R135&lt;&gt;"OK","",INDEX(Setup!$D$25:$D$29,MATCH($O135,Setup!$B$25:$B$29,0)))</f>
        <v/>
      </c>
      <c r="AE135" s="93" t="str">
        <f>IF($R135&lt;&gt;"OK","",$AD135-$N135)</f>
        <v/>
      </c>
      <c r="AF135" s="79" t="str">
        <f>IF($R135&lt;&gt;"OK","",IF($AB135=0,"No order needed",IF($AE135&gt;=$AS135,"Order by the deadline",IF(AND($O135&lt;&gt;"Domestic",Setup!$D$27-$N135&gt;=$AS135),"Late by this mode: fly it",IF(Setup!$D$28-$N135&gt;=$AS135,"Late: Express courier only",IF($AG135&lt;Setup!$C$5,"Tight: lands before Black Friday",IF(AND($O135&lt;&gt;"Domestic",$AT135&lt;Setup!$C$5),"Tight: by Air lands before Black Friday",IF($AS135+$N135+Setup!$C$28+Setup!$C$11&lt;Setup!$C$5,"Tight: by Express lands before Black Friday","Too late: ration"))))))))</f>
        <v/>
      </c>
      <c r="AG135" s="93" t="str">
        <f>IF($R135&lt;&gt;"OK","",IF($AB135=0,"",$AS135+$N135+INDEX(Setup!$C$25:$C$29,MATCH($O135,Setup!$B$25:$B$29,0))+Setup!$C$11))</f>
        <v/>
      </c>
      <c r="AH135" s="93" t="str">
        <f>IF($R135&lt;&gt;"OK","",IF($F135&lt;=0,"",INT(IF($K135&lt;($F135*MAX(0,(Setup!$C$5-Setup!$C$7)-Setup!$C$4)),Setup!$C$4+$K135/$F135,IF($K135&lt;($F135*MAX(0,(Setup!$C$5-Setup!$C$7)-Setup!$C$4))+($F135*Setup!$C$8*MAX(0,Setup!$C$5-MAX((Setup!$C$5-Setup!$C$7),Setup!$C$4))),MAX((Setup!$C$5-Setup!$C$7),Setup!$C$4)+($K135-($F135*MAX(0,(Setup!$C$5-Setup!$C$7)-Setup!$C$4)))/($F135*Setup!$C$8),IF(AND($W135&gt;0,$K135&lt;($F135*MAX(0,(Setup!$C$5-Setup!$C$7)-Setup!$C$4))+($F135*Setup!$C$8*MAX(0,Setup!$C$5-MAX((Setup!$C$5-Setup!$C$7),Setup!$C$4)))+($W135/4*MAX(0,Setup!$C$5+4-MAX(Setup!$C$5,Setup!$C$4)))),MAX(Setup!$C$5,Setup!$C$4)+($K135-($F135*MAX(0,(Setup!$C$5-Setup!$C$7)-Setup!$C$4))-($F135*Setup!$C$8*MAX(0,Setup!$C$5-MAX((Setup!$C$5-Setup!$C$7),Setup!$C$4))))/($W135/4),MAX(Setup!$C$5+4,Setup!$C$4)+($K135-($F135*MAX(0,(Setup!$C$5-Setup!$C$7)-Setup!$C$4))-($F135*Setup!$C$8*MAX(0,Setup!$C$5-MAX((Setup!$C$5-Setup!$C$7),Setup!$C$4)))-($W135/4*MAX(0,Setup!$C$5+4-MAX(Setup!$C$5,Setup!$C$4))))/($F135*Setup!$C$14)))))))</f>
        <v/>
      </c>
      <c r="AI135" s="79" t="str">
        <f>IF($R135&lt;&gt;"OK","",IF(AND($L135&lt;&gt;"",$L135&gt;0,ISNUMBER($AH135),$M135&gt;$AH135),"Runs out before the incoming delivery arrives",IF($AB135=0,"OK",IF($K135+IF(AND($L135&lt;&gt;"",$L135&gt;0),IF($M135&lt;=$AG135,$L135,0),0)&lt;($F135*MAX(0,MIN($AG135,(Setup!$C$5-Setup!$C$7))-Setup!$C$4)+$F135*Setup!$C$8*MAX(0,MIN($AG135,Setup!$C$5)-MAX((Setup!$C$5-Setup!$C$7),Setup!$C$4))+$W135/4*MAX(0,MIN($AG135,Setup!$C$5+4)-MAX(Setup!$C$5,Setup!$C$4))+$F135*Setup!$C$14*MAX(0,$AG135-MAX(Setup!$C$5+4,Setup!$C$4))),"Runs out before this order can land","OK"))))</f>
        <v/>
      </c>
      <c r="AJ135" s="78" t="str">
        <f>IF($R135&lt;&gt;"OK","",IF($AB135=0,0,IF($AL135="Too slow: send it all fast",$AB135,$AR135)))</f>
        <v/>
      </c>
      <c r="AK135" s="78" t="str">
        <f>IF($R135&lt;&gt;"OK","",$AB135-$AJ135)</f>
        <v/>
      </c>
      <c r="AL135" s="78" t="str">
        <f>IF($R135&lt;&gt;"OK","",IF($AB135=0,"",IF($AB135-$AR135=0,"Nothing left over",IF($O135="Domestic",IF($AG135&lt;=Setup!$C$6+Setup!$C$20+1,"Later units can go by Domestic","Too slow: send it all fast"),IF($AS135+$N135+Setup!$C$25+Setup!$C$11&lt;=Setup!$C$6+Setup!$C$20+1,"Later units can go by Ocean long",IF($AS135+$N135+Setup!$C$26+Setup!$C$11&lt;=Setup!$C$6+Setup!$C$20+1,"Later units can go by Ocean short",IF($AS135+$N135+Setup!$C$27+Setup!$C$11&lt;=Setup!$C$6+Setup!$C$20+1,"Later units can go by Air",IF($AS135+$N135+Setup!$C$28+Setup!$C$11&lt;=Setup!$C$6+Setup!$C$20+1,"Later units can go by Express","Too slow: send it all fast"))))))))</f>
        <v/>
      </c>
      <c r="AM135" s="94" t="str">
        <f>IF($R135&lt;&gt;"OK","",$E135-$D135)</f>
        <v/>
      </c>
      <c r="AN135" s="95" t="str">
        <f>IF($R135&lt;&gt;"OK","",($E135-$D135)/$D135)</f>
        <v/>
      </c>
      <c r="AO135" s="95" t="str">
        <f>IF($R135&lt;&gt;"OK","",IF($AB135&gt;0,$AN135+IF($C135="Evergreen",1000,0),""))</f>
        <v/>
      </c>
      <c r="AP135" s="78" t="str">
        <f>IF(OR($R135&lt;&gt;"OK",$AO135=""),"",COUNTIF($AO$6:$AO$205,"&gt;"&amp;$AO135)+COUNTIF($AO$6:$AO135,$AO135))</f>
        <v/>
      </c>
      <c r="AQ135" s="78" t="str">
        <f>IF(OR($R135&lt;&gt;"OK",$AP135=""),"",INDEX('Buy list'!$G$5:$G$204,$AP135))</f>
        <v/>
      </c>
      <c r="AR135" s="78" t="str">
        <f>IF($R135&lt;&gt;"OK","",IF($AB135=0,0,MIN($AB135,CEILING(MAX(0,($F135*MAX(0,MIN((Setup!$C$6+1+Setup!$C$20),(Setup!$C$5-Setup!$C$7))-Setup!$C$4)+$F135*Setup!$C$8*MAX(0,MIN((Setup!$C$6+1+Setup!$C$20),Setup!$C$5)-MAX((Setup!$C$5-Setup!$C$7),Setup!$C$4))+$W135/4*MAX(0,MIN((Setup!$C$6+1+Setup!$C$20),Setup!$C$5+4)-MAX(Setup!$C$5,Setup!$C$4))+$F135*Setup!$C$14*MAX(0,(Setup!$C$6+1+Setup!$C$20)-MAX(Setup!$C$5+4,Setup!$C$4)))+$Y135-$K135-IF(AND($L135&lt;&gt;"",$L135&gt;0),IF($M135&lt;=Setup!$C$10,$L135,0),0)),IF(OR($P135="",$P135&lt;=0),1,$P135)))))</f>
        <v/>
      </c>
      <c r="AS135" s="96" t="str">
        <f>IF($R135&lt;&gt;"OK","",IF(AND($O135&lt;&gt;"Domestic",ISNUMBER(Setup!$C$22),Setup!$C$22&gt;Setup!$C$4),Setup!$C$22,Setup!$C$4))</f>
        <v/>
      </c>
      <c r="AT135" s="96" t="str">
        <f>IF($R135&lt;&gt;"OK","",IF($AB135=0,"",IF($O135="Domestic",$AG135,$AS135+$N135+Setup!$C$27+Setup!$C$11)))</f>
        <v/>
      </c>
    </row>
    <row r="136" ht="15" customHeight="1" s="46">
      <c r="A136" s="70" t="n"/>
      <c r="B136" s="70" t="n"/>
      <c r="C136" s="70" t="n"/>
      <c r="D136" s="85" t="n"/>
      <c r="E136" s="85" t="n"/>
      <c r="F136" s="86" t="n"/>
      <c r="G136" s="87" t="n"/>
      <c r="H136" s="88" t="n"/>
      <c r="I136" s="89" t="n"/>
      <c r="J136" s="90" t="n"/>
      <c r="K136" s="87" t="n"/>
      <c r="L136" s="87" t="n"/>
      <c r="M136" s="91" t="n"/>
      <c r="N136" s="92" t="n"/>
      <c r="O136" s="70" t="n"/>
      <c r="P136" s="92" t="n"/>
      <c r="Q136" s="87" t="n"/>
      <c r="R136" s="79" t="str">
        <f>IF($A136="","",IF($C136="","Missing: type",IF(OR($D136="",$D136&lt;=0),"Missing: unit cost",IF($E136="","Missing: unit price",IF($F136="","Missing: daily sales",IF($K136="","Missing: on hand",IF($N136="","Missing: production days",IF($O136="","Missing: freight mode",IF(ISNA(MATCH($O136,Setup!$B$25:$B$29,0)),"Unknown freight mode",IF(AND($L136&lt;&gt;"",$L136&gt;0,$M136=""),"Missing: on-order arrival date","OK"))))))))))</f>
        <v/>
      </c>
      <c r="S136" s="78" t="str">
        <f>IF($R136&lt;&gt;"OK","",IF($G136="","",ROUND($G136/IF(OR($H136="",$H136&lt;=0),4,$H136)*4,0)))</f>
        <v/>
      </c>
      <c r="T136" s="78" t="str">
        <f>IF($R136&lt;&gt;"OK","",ROUND(IF($G136="",$F136*4*Setup!$C$19,$G136/IF(OR($H136="",$H136&lt;=0),4,$H136)*4*(1+IF($I136="",Setup!$C$16,$I136)))*IF($J136="",1,$J136),0))</f>
        <v/>
      </c>
      <c r="U136" s="78" t="str">
        <f>IF($R136&lt;&gt;"OK","",ROUND($T136*Setup!$C$17,0))</f>
        <v/>
      </c>
      <c r="V136" s="78" t="str">
        <f>IF($R136&lt;&gt;"OK","",ROUND($T136*Setup!$C$18,0))</f>
        <v/>
      </c>
      <c r="W136" s="78" t="str">
        <f>IF($R136&lt;&gt;"OK","",IF($C136="Evergreen",$V136,IF($C136="Seasonal or new",$U136,$T136)))</f>
        <v/>
      </c>
      <c r="X136" s="78" t="str">
        <f>IF($R136&lt;&gt;"OK","",ROUND(($F136*MAX(0,MIN(Setup!$C$13+1,(Setup!$C$5-Setup!$C$7))-Setup!$C$4)+$F136*Setup!$C$8*MAX(0,MIN(Setup!$C$13+1,Setup!$C$5)-MAX((Setup!$C$5-Setup!$C$7),Setup!$C$4))+$W136/4*MAX(0,MIN(Setup!$C$13+1,Setup!$C$5+4)-MAX(Setup!$C$5,Setup!$C$4))+$F136*Setup!$C$14*MAX(0,Setup!$C$13+1-MAX(Setup!$C$5+4,Setup!$C$4))),0))</f>
        <v/>
      </c>
      <c r="Y136" s="78" t="str">
        <f>IF($R136&lt;&gt;"OK","",ROUND($F136*Setup!$C$15,0))</f>
        <v/>
      </c>
      <c r="Z136" s="78" t="str">
        <f>IF($R136&lt;&gt;"OK","",IF(AND($L136&lt;&gt;"",$L136&gt;0),IF($M136&lt;=Setup!$C$13,$L136,0),0))</f>
        <v/>
      </c>
      <c r="AA136" s="78" t="str">
        <f>IF($R136&lt;&gt;"OK","",MAX(0,$X136+$Y136-$K136-$Z136))</f>
        <v/>
      </c>
      <c r="AB136" s="78" t="str">
        <f>IF($R136&lt;&gt;"OK","",IF($AA136=0,0,CEILING(MAX($AA136,IF($Q136="",0,$Q136)),IF(OR($P136="",$P136&lt;=0),1,$P136))))</f>
        <v/>
      </c>
      <c r="AC136" s="78" t="str">
        <f>IF($R136&lt;&gt;"OK","",$AB136*$D136)</f>
        <v/>
      </c>
      <c r="AD136" s="93" t="str">
        <f>IF($R136&lt;&gt;"OK","",INDEX(Setup!$D$25:$D$29,MATCH($O136,Setup!$B$25:$B$29,0)))</f>
        <v/>
      </c>
      <c r="AE136" s="93" t="str">
        <f>IF($R136&lt;&gt;"OK","",$AD136-$N136)</f>
        <v/>
      </c>
      <c r="AF136" s="79" t="str">
        <f>IF($R136&lt;&gt;"OK","",IF($AB136=0,"No order needed",IF($AE136&gt;=$AS136,"Order by the deadline",IF(AND($O136&lt;&gt;"Domestic",Setup!$D$27-$N136&gt;=$AS136),"Late by this mode: fly it",IF(Setup!$D$28-$N136&gt;=$AS136,"Late: Express courier only",IF($AG136&lt;Setup!$C$5,"Tight: lands before Black Friday",IF(AND($O136&lt;&gt;"Domestic",$AT136&lt;Setup!$C$5),"Tight: by Air lands before Black Friday",IF($AS136+$N136+Setup!$C$28+Setup!$C$11&lt;Setup!$C$5,"Tight: by Express lands before Black Friday","Too late: ration"))))))))</f>
        <v/>
      </c>
      <c r="AG136" s="93" t="str">
        <f>IF($R136&lt;&gt;"OK","",IF($AB136=0,"",$AS136+$N136+INDEX(Setup!$C$25:$C$29,MATCH($O136,Setup!$B$25:$B$29,0))+Setup!$C$11))</f>
        <v/>
      </c>
      <c r="AH136" s="93" t="str">
        <f>IF($R136&lt;&gt;"OK","",IF($F136&lt;=0,"",INT(IF($K136&lt;($F136*MAX(0,(Setup!$C$5-Setup!$C$7)-Setup!$C$4)),Setup!$C$4+$K136/$F136,IF($K136&lt;($F136*MAX(0,(Setup!$C$5-Setup!$C$7)-Setup!$C$4))+($F136*Setup!$C$8*MAX(0,Setup!$C$5-MAX((Setup!$C$5-Setup!$C$7),Setup!$C$4))),MAX((Setup!$C$5-Setup!$C$7),Setup!$C$4)+($K136-($F136*MAX(0,(Setup!$C$5-Setup!$C$7)-Setup!$C$4)))/($F136*Setup!$C$8),IF(AND($W136&gt;0,$K136&lt;($F136*MAX(0,(Setup!$C$5-Setup!$C$7)-Setup!$C$4))+($F136*Setup!$C$8*MAX(0,Setup!$C$5-MAX((Setup!$C$5-Setup!$C$7),Setup!$C$4)))+($W136/4*MAX(0,Setup!$C$5+4-MAX(Setup!$C$5,Setup!$C$4)))),MAX(Setup!$C$5,Setup!$C$4)+($K136-($F136*MAX(0,(Setup!$C$5-Setup!$C$7)-Setup!$C$4))-($F136*Setup!$C$8*MAX(0,Setup!$C$5-MAX((Setup!$C$5-Setup!$C$7),Setup!$C$4))))/($W136/4),MAX(Setup!$C$5+4,Setup!$C$4)+($K136-($F136*MAX(0,(Setup!$C$5-Setup!$C$7)-Setup!$C$4))-($F136*Setup!$C$8*MAX(0,Setup!$C$5-MAX((Setup!$C$5-Setup!$C$7),Setup!$C$4)))-($W136/4*MAX(0,Setup!$C$5+4-MAX(Setup!$C$5,Setup!$C$4))))/($F136*Setup!$C$14)))))))</f>
        <v/>
      </c>
      <c r="AI136" s="79" t="str">
        <f>IF($R136&lt;&gt;"OK","",IF(AND($L136&lt;&gt;"",$L136&gt;0,ISNUMBER($AH136),$M136&gt;$AH136),"Runs out before the incoming delivery arrives",IF($AB136=0,"OK",IF($K136+IF(AND($L136&lt;&gt;"",$L136&gt;0),IF($M136&lt;=$AG136,$L136,0),0)&lt;($F136*MAX(0,MIN($AG136,(Setup!$C$5-Setup!$C$7))-Setup!$C$4)+$F136*Setup!$C$8*MAX(0,MIN($AG136,Setup!$C$5)-MAX((Setup!$C$5-Setup!$C$7),Setup!$C$4))+$W136/4*MAX(0,MIN($AG136,Setup!$C$5+4)-MAX(Setup!$C$5,Setup!$C$4))+$F136*Setup!$C$14*MAX(0,$AG136-MAX(Setup!$C$5+4,Setup!$C$4))),"Runs out before this order can land","OK"))))</f>
        <v/>
      </c>
      <c r="AJ136" s="78" t="str">
        <f>IF($R136&lt;&gt;"OK","",IF($AB136=0,0,IF($AL136="Too slow: send it all fast",$AB136,$AR136)))</f>
        <v/>
      </c>
      <c r="AK136" s="78" t="str">
        <f>IF($R136&lt;&gt;"OK","",$AB136-$AJ136)</f>
        <v/>
      </c>
      <c r="AL136" s="78" t="str">
        <f>IF($R136&lt;&gt;"OK","",IF($AB136=0,"",IF($AB136-$AR136=0,"Nothing left over",IF($O136="Domestic",IF($AG136&lt;=Setup!$C$6+Setup!$C$20+1,"Later units can go by Domestic","Too slow: send it all fast"),IF($AS136+$N136+Setup!$C$25+Setup!$C$11&lt;=Setup!$C$6+Setup!$C$20+1,"Later units can go by Ocean long",IF($AS136+$N136+Setup!$C$26+Setup!$C$11&lt;=Setup!$C$6+Setup!$C$20+1,"Later units can go by Ocean short",IF($AS136+$N136+Setup!$C$27+Setup!$C$11&lt;=Setup!$C$6+Setup!$C$20+1,"Later units can go by Air",IF($AS136+$N136+Setup!$C$28+Setup!$C$11&lt;=Setup!$C$6+Setup!$C$20+1,"Later units can go by Express","Too slow: send it all fast"))))))))</f>
        <v/>
      </c>
      <c r="AM136" s="94" t="str">
        <f>IF($R136&lt;&gt;"OK","",$E136-$D136)</f>
        <v/>
      </c>
      <c r="AN136" s="95" t="str">
        <f>IF($R136&lt;&gt;"OK","",($E136-$D136)/$D136)</f>
        <v/>
      </c>
      <c r="AO136" s="95" t="str">
        <f>IF($R136&lt;&gt;"OK","",IF($AB136&gt;0,$AN136+IF($C136="Evergreen",1000,0),""))</f>
        <v/>
      </c>
      <c r="AP136" s="78" t="str">
        <f>IF(OR($R136&lt;&gt;"OK",$AO136=""),"",COUNTIF($AO$6:$AO$205,"&gt;"&amp;$AO136)+COUNTIF($AO$6:$AO136,$AO136))</f>
        <v/>
      </c>
      <c r="AQ136" s="78" t="str">
        <f>IF(OR($R136&lt;&gt;"OK",$AP136=""),"",INDEX('Buy list'!$G$5:$G$204,$AP136))</f>
        <v/>
      </c>
      <c r="AR136" s="78" t="str">
        <f>IF($R136&lt;&gt;"OK","",IF($AB136=0,0,MIN($AB136,CEILING(MAX(0,($F136*MAX(0,MIN((Setup!$C$6+1+Setup!$C$20),(Setup!$C$5-Setup!$C$7))-Setup!$C$4)+$F136*Setup!$C$8*MAX(0,MIN((Setup!$C$6+1+Setup!$C$20),Setup!$C$5)-MAX((Setup!$C$5-Setup!$C$7),Setup!$C$4))+$W136/4*MAX(0,MIN((Setup!$C$6+1+Setup!$C$20),Setup!$C$5+4)-MAX(Setup!$C$5,Setup!$C$4))+$F136*Setup!$C$14*MAX(0,(Setup!$C$6+1+Setup!$C$20)-MAX(Setup!$C$5+4,Setup!$C$4)))+$Y136-$K136-IF(AND($L136&lt;&gt;"",$L136&gt;0),IF($M136&lt;=Setup!$C$10,$L136,0),0)),IF(OR($P136="",$P136&lt;=0),1,$P136)))))</f>
        <v/>
      </c>
      <c r="AS136" s="96" t="str">
        <f>IF($R136&lt;&gt;"OK","",IF(AND($O136&lt;&gt;"Domestic",ISNUMBER(Setup!$C$22),Setup!$C$22&gt;Setup!$C$4),Setup!$C$22,Setup!$C$4))</f>
        <v/>
      </c>
      <c r="AT136" s="96" t="str">
        <f>IF($R136&lt;&gt;"OK","",IF($AB136=0,"",IF($O136="Domestic",$AG136,$AS136+$N136+Setup!$C$27+Setup!$C$11)))</f>
        <v/>
      </c>
    </row>
    <row r="137" ht="15" customHeight="1" s="46">
      <c r="A137" s="70" t="n"/>
      <c r="B137" s="70" t="n"/>
      <c r="C137" s="70" t="n"/>
      <c r="D137" s="85" t="n"/>
      <c r="E137" s="85" t="n"/>
      <c r="F137" s="86" t="n"/>
      <c r="G137" s="87" t="n"/>
      <c r="H137" s="88" t="n"/>
      <c r="I137" s="89" t="n"/>
      <c r="J137" s="90" t="n"/>
      <c r="K137" s="87" t="n"/>
      <c r="L137" s="87" t="n"/>
      <c r="M137" s="91" t="n"/>
      <c r="N137" s="92" t="n"/>
      <c r="O137" s="70" t="n"/>
      <c r="P137" s="92" t="n"/>
      <c r="Q137" s="87" t="n"/>
      <c r="R137" s="79" t="str">
        <f>IF($A137="","",IF($C137="","Missing: type",IF(OR($D137="",$D137&lt;=0),"Missing: unit cost",IF($E137="","Missing: unit price",IF($F137="","Missing: daily sales",IF($K137="","Missing: on hand",IF($N137="","Missing: production days",IF($O137="","Missing: freight mode",IF(ISNA(MATCH($O137,Setup!$B$25:$B$29,0)),"Unknown freight mode",IF(AND($L137&lt;&gt;"",$L137&gt;0,$M137=""),"Missing: on-order arrival date","OK"))))))))))</f>
        <v/>
      </c>
      <c r="S137" s="78" t="str">
        <f>IF($R137&lt;&gt;"OK","",IF($G137="","",ROUND($G137/IF(OR($H137="",$H137&lt;=0),4,$H137)*4,0)))</f>
        <v/>
      </c>
      <c r="T137" s="78" t="str">
        <f>IF($R137&lt;&gt;"OK","",ROUND(IF($G137="",$F137*4*Setup!$C$19,$G137/IF(OR($H137="",$H137&lt;=0),4,$H137)*4*(1+IF($I137="",Setup!$C$16,$I137)))*IF($J137="",1,$J137),0))</f>
        <v/>
      </c>
      <c r="U137" s="78" t="str">
        <f>IF($R137&lt;&gt;"OK","",ROUND($T137*Setup!$C$17,0))</f>
        <v/>
      </c>
      <c r="V137" s="78" t="str">
        <f>IF($R137&lt;&gt;"OK","",ROUND($T137*Setup!$C$18,0))</f>
        <v/>
      </c>
      <c r="W137" s="78" t="str">
        <f>IF($R137&lt;&gt;"OK","",IF($C137="Evergreen",$V137,IF($C137="Seasonal or new",$U137,$T137)))</f>
        <v/>
      </c>
      <c r="X137" s="78" t="str">
        <f>IF($R137&lt;&gt;"OK","",ROUND(($F137*MAX(0,MIN(Setup!$C$13+1,(Setup!$C$5-Setup!$C$7))-Setup!$C$4)+$F137*Setup!$C$8*MAX(0,MIN(Setup!$C$13+1,Setup!$C$5)-MAX((Setup!$C$5-Setup!$C$7),Setup!$C$4))+$W137/4*MAX(0,MIN(Setup!$C$13+1,Setup!$C$5+4)-MAX(Setup!$C$5,Setup!$C$4))+$F137*Setup!$C$14*MAX(0,Setup!$C$13+1-MAX(Setup!$C$5+4,Setup!$C$4))),0))</f>
        <v/>
      </c>
      <c r="Y137" s="78" t="str">
        <f>IF($R137&lt;&gt;"OK","",ROUND($F137*Setup!$C$15,0))</f>
        <v/>
      </c>
      <c r="Z137" s="78" t="str">
        <f>IF($R137&lt;&gt;"OK","",IF(AND($L137&lt;&gt;"",$L137&gt;0),IF($M137&lt;=Setup!$C$13,$L137,0),0))</f>
        <v/>
      </c>
      <c r="AA137" s="78" t="str">
        <f>IF($R137&lt;&gt;"OK","",MAX(0,$X137+$Y137-$K137-$Z137))</f>
        <v/>
      </c>
      <c r="AB137" s="78" t="str">
        <f>IF($R137&lt;&gt;"OK","",IF($AA137=0,0,CEILING(MAX($AA137,IF($Q137="",0,$Q137)),IF(OR($P137="",$P137&lt;=0),1,$P137))))</f>
        <v/>
      </c>
      <c r="AC137" s="78" t="str">
        <f>IF($R137&lt;&gt;"OK","",$AB137*$D137)</f>
        <v/>
      </c>
      <c r="AD137" s="93" t="str">
        <f>IF($R137&lt;&gt;"OK","",INDEX(Setup!$D$25:$D$29,MATCH($O137,Setup!$B$25:$B$29,0)))</f>
        <v/>
      </c>
      <c r="AE137" s="93" t="str">
        <f>IF($R137&lt;&gt;"OK","",$AD137-$N137)</f>
        <v/>
      </c>
      <c r="AF137" s="79" t="str">
        <f>IF($R137&lt;&gt;"OK","",IF($AB137=0,"No order needed",IF($AE137&gt;=$AS137,"Order by the deadline",IF(AND($O137&lt;&gt;"Domestic",Setup!$D$27-$N137&gt;=$AS137),"Late by this mode: fly it",IF(Setup!$D$28-$N137&gt;=$AS137,"Late: Express courier only",IF($AG137&lt;Setup!$C$5,"Tight: lands before Black Friday",IF(AND($O137&lt;&gt;"Domestic",$AT137&lt;Setup!$C$5),"Tight: by Air lands before Black Friday",IF($AS137+$N137+Setup!$C$28+Setup!$C$11&lt;Setup!$C$5,"Tight: by Express lands before Black Friday","Too late: ration"))))))))</f>
        <v/>
      </c>
      <c r="AG137" s="93" t="str">
        <f>IF($R137&lt;&gt;"OK","",IF($AB137=0,"",$AS137+$N137+INDEX(Setup!$C$25:$C$29,MATCH($O137,Setup!$B$25:$B$29,0))+Setup!$C$11))</f>
        <v/>
      </c>
      <c r="AH137" s="93" t="str">
        <f>IF($R137&lt;&gt;"OK","",IF($F137&lt;=0,"",INT(IF($K137&lt;($F137*MAX(0,(Setup!$C$5-Setup!$C$7)-Setup!$C$4)),Setup!$C$4+$K137/$F137,IF($K137&lt;($F137*MAX(0,(Setup!$C$5-Setup!$C$7)-Setup!$C$4))+($F137*Setup!$C$8*MAX(0,Setup!$C$5-MAX((Setup!$C$5-Setup!$C$7),Setup!$C$4))),MAX((Setup!$C$5-Setup!$C$7),Setup!$C$4)+($K137-($F137*MAX(0,(Setup!$C$5-Setup!$C$7)-Setup!$C$4)))/($F137*Setup!$C$8),IF(AND($W137&gt;0,$K137&lt;($F137*MAX(0,(Setup!$C$5-Setup!$C$7)-Setup!$C$4))+($F137*Setup!$C$8*MAX(0,Setup!$C$5-MAX((Setup!$C$5-Setup!$C$7),Setup!$C$4)))+($W137/4*MAX(0,Setup!$C$5+4-MAX(Setup!$C$5,Setup!$C$4)))),MAX(Setup!$C$5,Setup!$C$4)+($K137-($F137*MAX(0,(Setup!$C$5-Setup!$C$7)-Setup!$C$4))-($F137*Setup!$C$8*MAX(0,Setup!$C$5-MAX((Setup!$C$5-Setup!$C$7),Setup!$C$4))))/($W137/4),MAX(Setup!$C$5+4,Setup!$C$4)+($K137-($F137*MAX(0,(Setup!$C$5-Setup!$C$7)-Setup!$C$4))-($F137*Setup!$C$8*MAX(0,Setup!$C$5-MAX((Setup!$C$5-Setup!$C$7),Setup!$C$4)))-($W137/4*MAX(0,Setup!$C$5+4-MAX(Setup!$C$5,Setup!$C$4))))/($F137*Setup!$C$14)))))))</f>
        <v/>
      </c>
      <c r="AI137" s="79" t="str">
        <f>IF($R137&lt;&gt;"OK","",IF(AND($L137&lt;&gt;"",$L137&gt;0,ISNUMBER($AH137),$M137&gt;$AH137),"Runs out before the incoming delivery arrives",IF($AB137=0,"OK",IF($K137+IF(AND($L137&lt;&gt;"",$L137&gt;0),IF($M137&lt;=$AG137,$L137,0),0)&lt;($F137*MAX(0,MIN($AG137,(Setup!$C$5-Setup!$C$7))-Setup!$C$4)+$F137*Setup!$C$8*MAX(0,MIN($AG137,Setup!$C$5)-MAX((Setup!$C$5-Setup!$C$7),Setup!$C$4))+$W137/4*MAX(0,MIN($AG137,Setup!$C$5+4)-MAX(Setup!$C$5,Setup!$C$4))+$F137*Setup!$C$14*MAX(0,$AG137-MAX(Setup!$C$5+4,Setup!$C$4))),"Runs out before this order can land","OK"))))</f>
        <v/>
      </c>
      <c r="AJ137" s="78" t="str">
        <f>IF($R137&lt;&gt;"OK","",IF($AB137=0,0,IF($AL137="Too slow: send it all fast",$AB137,$AR137)))</f>
        <v/>
      </c>
      <c r="AK137" s="78" t="str">
        <f>IF($R137&lt;&gt;"OK","",$AB137-$AJ137)</f>
        <v/>
      </c>
      <c r="AL137" s="78" t="str">
        <f>IF($R137&lt;&gt;"OK","",IF($AB137=0,"",IF($AB137-$AR137=0,"Nothing left over",IF($O137="Domestic",IF($AG137&lt;=Setup!$C$6+Setup!$C$20+1,"Later units can go by Domestic","Too slow: send it all fast"),IF($AS137+$N137+Setup!$C$25+Setup!$C$11&lt;=Setup!$C$6+Setup!$C$20+1,"Later units can go by Ocean long",IF($AS137+$N137+Setup!$C$26+Setup!$C$11&lt;=Setup!$C$6+Setup!$C$20+1,"Later units can go by Ocean short",IF($AS137+$N137+Setup!$C$27+Setup!$C$11&lt;=Setup!$C$6+Setup!$C$20+1,"Later units can go by Air",IF($AS137+$N137+Setup!$C$28+Setup!$C$11&lt;=Setup!$C$6+Setup!$C$20+1,"Later units can go by Express","Too slow: send it all fast"))))))))</f>
        <v/>
      </c>
      <c r="AM137" s="94" t="str">
        <f>IF($R137&lt;&gt;"OK","",$E137-$D137)</f>
        <v/>
      </c>
      <c r="AN137" s="95" t="str">
        <f>IF($R137&lt;&gt;"OK","",($E137-$D137)/$D137)</f>
        <v/>
      </c>
      <c r="AO137" s="95" t="str">
        <f>IF($R137&lt;&gt;"OK","",IF($AB137&gt;0,$AN137+IF($C137="Evergreen",1000,0),""))</f>
        <v/>
      </c>
      <c r="AP137" s="78" t="str">
        <f>IF(OR($R137&lt;&gt;"OK",$AO137=""),"",COUNTIF($AO$6:$AO$205,"&gt;"&amp;$AO137)+COUNTIF($AO$6:$AO137,$AO137))</f>
        <v/>
      </c>
      <c r="AQ137" s="78" t="str">
        <f>IF(OR($R137&lt;&gt;"OK",$AP137=""),"",INDEX('Buy list'!$G$5:$G$204,$AP137))</f>
        <v/>
      </c>
      <c r="AR137" s="78" t="str">
        <f>IF($R137&lt;&gt;"OK","",IF($AB137=0,0,MIN($AB137,CEILING(MAX(0,($F137*MAX(0,MIN((Setup!$C$6+1+Setup!$C$20),(Setup!$C$5-Setup!$C$7))-Setup!$C$4)+$F137*Setup!$C$8*MAX(0,MIN((Setup!$C$6+1+Setup!$C$20),Setup!$C$5)-MAX((Setup!$C$5-Setup!$C$7),Setup!$C$4))+$W137/4*MAX(0,MIN((Setup!$C$6+1+Setup!$C$20),Setup!$C$5+4)-MAX(Setup!$C$5,Setup!$C$4))+$F137*Setup!$C$14*MAX(0,(Setup!$C$6+1+Setup!$C$20)-MAX(Setup!$C$5+4,Setup!$C$4)))+$Y137-$K137-IF(AND($L137&lt;&gt;"",$L137&gt;0),IF($M137&lt;=Setup!$C$10,$L137,0),0)),IF(OR($P137="",$P137&lt;=0),1,$P137)))))</f>
        <v/>
      </c>
      <c r="AS137" s="96" t="str">
        <f>IF($R137&lt;&gt;"OK","",IF(AND($O137&lt;&gt;"Domestic",ISNUMBER(Setup!$C$22),Setup!$C$22&gt;Setup!$C$4),Setup!$C$22,Setup!$C$4))</f>
        <v/>
      </c>
      <c r="AT137" s="96" t="str">
        <f>IF($R137&lt;&gt;"OK","",IF($AB137=0,"",IF($O137="Domestic",$AG137,$AS137+$N137+Setup!$C$27+Setup!$C$11)))</f>
        <v/>
      </c>
    </row>
    <row r="138" ht="15" customHeight="1" s="46">
      <c r="A138" s="70" t="n"/>
      <c r="B138" s="70" t="n"/>
      <c r="C138" s="70" t="n"/>
      <c r="D138" s="85" t="n"/>
      <c r="E138" s="85" t="n"/>
      <c r="F138" s="86" t="n"/>
      <c r="G138" s="87" t="n"/>
      <c r="H138" s="88" t="n"/>
      <c r="I138" s="89" t="n"/>
      <c r="J138" s="90" t="n"/>
      <c r="K138" s="87" t="n"/>
      <c r="L138" s="87" t="n"/>
      <c r="M138" s="91" t="n"/>
      <c r="N138" s="92" t="n"/>
      <c r="O138" s="70" t="n"/>
      <c r="P138" s="92" t="n"/>
      <c r="Q138" s="87" t="n"/>
      <c r="R138" s="79" t="str">
        <f>IF($A138="","",IF($C138="","Missing: type",IF(OR($D138="",$D138&lt;=0),"Missing: unit cost",IF($E138="","Missing: unit price",IF($F138="","Missing: daily sales",IF($K138="","Missing: on hand",IF($N138="","Missing: production days",IF($O138="","Missing: freight mode",IF(ISNA(MATCH($O138,Setup!$B$25:$B$29,0)),"Unknown freight mode",IF(AND($L138&lt;&gt;"",$L138&gt;0,$M138=""),"Missing: on-order arrival date","OK"))))))))))</f>
        <v/>
      </c>
      <c r="S138" s="78" t="str">
        <f>IF($R138&lt;&gt;"OK","",IF($G138="","",ROUND($G138/IF(OR($H138="",$H138&lt;=0),4,$H138)*4,0)))</f>
        <v/>
      </c>
      <c r="T138" s="78" t="str">
        <f>IF($R138&lt;&gt;"OK","",ROUND(IF($G138="",$F138*4*Setup!$C$19,$G138/IF(OR($H138="",$H138&lt;=0),4,$H138)*4*(1+IF($I138="",Setup!$C$16,$I138)))*IF($J138="",1,$J138),0))</f>
        <v/>
      </c>
      <c r="U138" s="78" t="str">
        <f>IF($R138&lt;&gt;"OK","",ROUND($T138*Setup!$C$17,0))</f>
        <v/>
      </c>
      <c r="V138" s="78" t="str">
        <f>IF($R138&lt;&gt;"OK","",ROUND($T138*Setup!$C$18,0))</f>
        <v/>
      </c>
      <c r="W138" s="78" t="str">
        <f>IF($R138&lt;&gt;"OK","",IF($C138="Evergreen",$V138,IF($C138="Seasonal or new",$U138,$T138)))</f>
        <v/>
      </c>
      <c r="X138" s="78" t="str">
        <f>IF($R138&lt;&gt;"OK","",ROUND(($F138*MAX(0,MIN(Setup!$C$13+1,(Setup!$C$5-Setup!$C$7))-Setup!$C$4)+$F138*Setup!$C$8*MAX(0,MIN(Setup!$C$13+1,Setup!$C$5)-MAX((Setup!$C$5-Setup!$C$7),Setup!$C$4))+$W138/4*MAX(0,MIN(Setup!$C$13+1,Setup!$C$5+4)-MAX(Setup!$C$5,Setup!$C$4))+$F138*Setup!$C$14*MAX(0,Setup!$C$13+1-MAX(Setup!$C$5+4,Setup!$C$4))),0))</f>
        <v/>
      </c>
      <c r="Y138" s="78" t="str">
        <f>IF($R138&lt;&gt;"OK","",ROUND($F138*Setup!$C$15,0))</f>
        <v/>
      </c>
      <c r="Z138" s="78" t="str">
        <f>IF($R138&lt;&gt;"OK","",IF(AND($L138&lt;&gt;"",$L138&gt;0),IF($M138&lt;=Setup!$C$13,$L138,0),0))</f>
        <v/>
      </c>
      <c r="AA138" s="78" t="str">
        <f>IF($R138&lt;&gt;"OK","",MAX(0,$X138+$Y138-$K138-$Z138))</f>
        <v/>
      </c>
      <c r="AB138" s="78" t="str">
        <f>IF($R138&lt;&gt;"OK","",IF($AA138=0,0,CEILING(MAX($AA138,IF($Q138="",0,$Q138)),IF(OR($P138="",$P138&lt;=0),1,$P138))))</f>
        <v/>
      </c>
      <c r="AC138" s="78" t="str">
        <f>IF($R138&lt;&gt;"OK","",$AB138*$D138)</f>
        <v/>
      </c>
      <c r="AD138" s="93" t="str">
        <f>IF($R138&lt;&gt;"OK","",INDEX(Setup!$D$25:$D$29,MATCH($O138,Setup!$B$25:$B$29,0)))</f>
        <v/>
      </c>
      <c r="AE138" s="93" t="str">
        <f>IF($R138&lt;&gt;"OK","",$AD138-$N138)</f>
        <v/>
      </c>
      <c r="AF138" s="79" t="str">
        <f>IF($R138&lt;&gt;"OK","",IF($AB138=0,"No order needed",IF($AE138&gt;=$AS138,"Order by the deadline",IF(AND($O138&lt;&gt;"Domestic",Setup!$D$27-$N138&gt;=$AS138),"Late by this mode: fly it",IF(Setup!$D$28-$N138&gt;=$AS138,"Late: Express courier only",IF($AG138&lt;Setup!$C$5,"Tight: lands before Black Friday",IF(AND($O138&lt;&gt;"Domestic",$AT138&lt;Setup!$C$5),"Tight: by Air lands before Black Friday",IF($AS138+$N138+Setup!$C$28+Setup!$C$11&lt;Setup!$C$5,"Tight: by Express lands before Black Friday","Too late: ration"))))))))</f>
        <v/>
      </c>
      <c r="AG138" s="93" t="str">
        <f>IF($R138&lt;&gt;"OK","",IF($AB138=0,"",$AS138+$N138+INDEX(Setup!$C$25:$C$29,MATCH($O138,Setup!$B$25:$B$29,0))+Setup!$C$11))</f>
        <v/>
      </c>
      <c r="AH138" s="93" t="str">
        <f>IF($R138&lt;&gt;"OK","",IF($F138&lt;=0,"",INT(IF($K138&lt;($F138*MAX(0,(Setup!$C$5-Setup!$C$7)-Setup!$C$4)),Setup!$C$4+$K138/$F138,IF($K138&lt;($F138*MAX(0,(Setup!$C$5-Setup!$C$7)-Setup!$C$4))+($F138*Setup!$C$8*MAX(0,Setup!$C$5-MAX((Setup!$C$5-Setup!$C$7),Setup!$C$4))),MAX((Setup!$C$5-Setup!$C$7),Setup!$C$4)+($K138-($F138*MAX(0,(Setup!$C$5-Setup!$C$7)-Setup!$C$4)))/($F138*Setup!$C$8),IF(AND($W138&gt;0,$K138&lt;($F138*MAX(0,(Setup!$C$5-Setup!$C$7)-Setup!$C$4))+($F138*Setup!$C$8*MAX(0,Setup!$C$5-MAX((Setup!$C$5-Setup!$C$7),Setup!$C$4)))+($W138/4*MAX(0,Setup!$C$5+4-MAX(Setup!$C$5,Setup!$C$4)))),MAX(Setup!$C$5,Setup!$C$4)+($K138-($F138*MAX(0,(Setup!$C$5-Setup!$C$7)-Setup!$C$4))-($F138*Setup!$C$8*MAX(0,Setup!$C$5-MAX((Setup!$C$5-Setup!$C$7),Setup!$C$4))))/($W138/4),MAX(Setup!$C$5+4,Setup!$C$4)+($K138-($F138*MAX(0,(Setup!$C$5-Setup!$C$7)-Setup!$C$4))-($F138*Setup!$C$8*MAX(0,Setup!$C$5-MAX((Setup!$C$5-Setup!$C$7),Setup!$C$4)))-($W138/4*MAX(0,Setup!$C$5+4-MAX(Setup!$C$5,Setup!$C$4))))/($F138*Setup!$C$14)))))))</f>
        <v/>
      </c>
      <c r="AI138" s="79" t="str">
        <f>IF($R138&lt;&gt;"OK","",IF(AND($L138&lt;&gt;"",$L138&gt;0,ISNUMBER($AH138),$M138&gt;$AH138),"Runs out before the incoming delivery arrives",IF($AB138=0,"OK",IF($K138+IF(AND($L138&lt;&gt;"",$L138&gt;0),IF($M138&lt;=$AG138,$L138,0),0)&lt;($F138*MAX(0,MIN($AG138,(Setup!$C$5-Setup!$C$7))-Setup!$C$4)+$F138*Setup!$C$8*MAX(0,MIN($AG138,Setup!$C$5)-MAX((Setup!$C$5-Setup!$C$7),Setup!$C$4))+$W138/4*MAX(0,MIN($AG138,Setup!$C$5+4)-MAX(Setup!$C$5,Setup!$C$4))+$F138*Setup!$C$14*MAX(0,$AG138-MAX(Setup!$C$5+4,Setup!$C$4))),"Runs out before this order can land","OK"))))</f>
        <v/>
      </c>
      <c r="AJ138" s="78" t="str">
        <f>IF($R138&lt;&gt;"OK","",IF($AB138=0,0,IF($AL138="Too slow: send it all fast",$AB138,$AR138)))</f>
        <v/>
      </c>
      <c r="AK138" s="78" t="str">
        <f>IF($R138&lt;&gt;"OK","",$AB138-$AJ138)</f>
        <v/>
      </c>
      <c r="AL138" s="78" t="str">
        <f>IF($R138&lt;&gt;"OK","",IF($AB138=0,"",IF($AB138-$AR138=0,"Nothing left over",IF($O138="Domestic",IF($AG138&lt;=Setup!$C$6+Setup!$C$20+1,"Later units can go by Domestic","Too slow: send it all fast"),IF($AS138+$N138+Setup!$C$25+Setup!$C$11&lt;=Setup!$C$6+Setup!$C$20+1,"Later units can go by Ocean long",IF($AS138+$N138+Setup!$C$26+Setup!$C$11&lt;=Setup!$C$6+Setup!$C$20+1,"Later units can go by Ocean short",IF($AS138+$N138+Setup!$C$27+Setup!$C$11&lt;=Setup!$C$6+Setup!$C$20+1,"Later units can go by Air",IF($AS138+$N138+Setup!$C$28+Setup!$C$11&lt;=Setup!$C$6+Setup!$C$20+1,"Later units can go by Express","Too slow: send it all fast"))))))))</f>
        <v/>
      </c>
      <c r="AM138" s="94" t="str">
        <f>IF($R138&lt;&gt;"OK","",$E138-$D138)</f>
        <v/>
      </c>
      <c r="AN138" s="95" t="str">
        <f>IF($R138&lt;&gt;"OK","",($E138-$D138)/$D138)</f>
        <v/>
      </c>
      <c r="AO138" s="95" t="str">
        <f>IF($R138&lt;&gt;"OK","",IF($AB138&gt;0,$AN138+IF($C138="Evergreen",1000,0),""))</f>
        <v/>
      </c>
      <c r="AP138" s="78" t="str">
        <f>IF(OR($R138&lt;&gt;"OK",$AO138=""),"",COUNTIF($AO$6:$AO$205,"&gt;"&amp;$AO138)+COUNTIF($AO$6:$AO138,$AO138))</f>
        <v/>
      </c>
      <c r="AQ138" s="78" t="str">
        <f>IF(OR($R138&lt;&gt;"OK",$AP138=""),"",INDEX('Buy list'!$G$5:$G$204,$AP138))</f>
        <v/>
      </c>
      <c r="AR138" s="78" t="str">
        <f>IF($R138&lt;&gt;"OK","",IF($AB138=0,0,MIN($AB138,CEILING(MAX(0,($F138*MAX(0,MIN((Setup!$C$6+1+Setup!$C$20),(Setup!$C$5-Setup!$C$7))-Setup!$C$4)+$F138*Setup!$C$8*MAX(0,MIN((Setup!$C$6+1+Setup!$C$20),Setup!$C$5)-MAX((Setup!$C$5-Setup!$C$7),Setup!$C$4))+$W138/4*MAX(0,MIN((Setup!$C$6+1+Setup!$C$20),Setup!$C$5+4)-MAX(Setup!$C$5,Setup!$C$4))+$F138*Setup!$C$14*MAX(0,(Setup!$C$6+1+Setup!$C$20)-MAX(Setup!$C$5+4,Setup!$C$4)))+$Y138-$K138-IF(AND($L138&lt;&gt;"",$L138&gt;0),IF($M138&lt;=Setup!$C$10,$L138,0),0)),IF(OR($P138="",$P138&lt;=0),1,$P138)))))</f>
        <v/>
      </c>
      <c r="AS138" s="96" t="str">
        <f>IF($R138&lt;&gt;"OK","",IF(AND($O138&lt;&gt;"Domestic",ISNUMBER(Setup!$C$22),Setup!$C$22&gt;Setup!$C$4),Setup!$C$22,Setup!$C$4))</f>
        <v/>
      </c>
      <c r="AT138" s="96" t="str">
        <f>IF($R138&lt;&gt;"OK","",IF($AB138=0,"",IF($O138="Domestic",$AG138,$AS138+$N138+Setup!$C$27+Setup!$C$11)))</f>
        <v/>
      </c>
    </row>
    <row r="139" ht="15" customHeight="1" s="46">
      <c r="A139" s="70" t="n"/>
      <c r="B139" s="70" t="n"/>
      <c r="C139" s="70" t="n"/>
      <c r="D139" s="85" t="n"/>
      <c r="E139" s="85" t="n"/>
      <c r="F139" s="86" t="n"/>
      <c r="G139" s="87" t="n"/>
      <c r="H139" s="88" t="n"/>
      <c r="I139" s="89" t="n"/>
      <c r="J139" s="90" t="n"/>
      <c r="K139" s="87" t="n"/>
      <c r="L139" s="87" t="n"/>
      <c r="M139" s="91" t="n"/>
      <c r="N139" s="92" t="n"/>
      <c r="O139" s="70" t="n"/>
      <c r="P139" s="92" t="n"/>
      <c r="Q139" s="87" t="n"/>
      <c r="R139" s="79" t="str">
        <f>IF($A139="","",IF($C139="","Missing: type",IF(OR($D139="",$D139&lt;=0),"Missing: unit cost",IF($E139="","Missing: unit price",IF($F139="","Missing: daily sales",IF($K139="","Missing: on hand",IF($N139="","Missing: production days",IF($O139="","Missing: freight mode",IF(ISNA(MATCH($O139,Setup!$B$25:$B$29,0)),"Unknown freight mode",IF(AND($L139&lt;&gt;"",$L139&gt;0,$M139=""),"Missing: on-order arrival date","OK"))))))))))</f>
        <v/>
      </c>
      <c r="S139" s="78" t="str">
        <f>IF($R139&lt;&gt;"OK","",IF($G139="","",ROUND($G139/IF(OR($H139="",$H139&lt;=0),4,$H139)*4,0)))</f>
        <v/>
      </c>
      <c r="T139" s="78" t="str">
        <f>IF($R139&lt;&gt;"OK","",ROUND(IF($G139="",$F139*4*Setup!$C$19,$G139/IF(OR($H139="",$H139&lt;=0),4,$H139)*4*(1+IF($I139="",Setup!$C$16,$I139)))*IF($J139="",1,$J139),0))</f>
        <v/>
      </c>
      <c r="U139" s="78" t="str">
        <f>IF($R139&lt;&gt;"OK","",ROUND($T139*Setup!$C$17,0))</f>
        <v/>
      </c>
      <c r="V139" s="78" t="str">
        <f>IF($R139&lt;&gt;"OK","",ROUND($T139*Setup!$C$18,0))</f>
        <v/>
      </c>
      <c r="W139" s="78" t="str">
        <f>IF($R139&lt;&gt;"OK","",IF($C139="Evergreen",$V139,IF($C139="Seasonal or new",$U139,$T139)))</f>
        <v/>
      </c>
      <c r="X139" s="78" t="str">
        <f>IF($R139&lt;&gt;"OK","",ROUND(($F139*MAX(0,MIN(Setup!$C$13+1,(Setup!$C$5-Setup!$C$7))-Setup!$C$4)+$F139*Setup!$C$8*MAX(0,MIN(Setup!$C$13+1,Setup!$C$5)-MAX((Setup!$C$5-Setup!$C$7),Setup!$C$4))+$W139/4*MAX(0,MIN(Setup!$C$13+1,Setup!$C$5+4)-MAX(Setup!$C$5,Setup!$C$4))+$F139*Setup!$C$14*MAX(0,Setup!$C$13+1-MAX(Setup!$C$5+4,Setup!$C$4))),0))</f>
        <v/>
      </c>
      <c r="Y139" s="78" t="str">
        <f>IF($R139&lt;&gt;"OK","",ROUND($F139*Setup!$C$15,0))</f>
        <v/>
      </c>
      <c r="Z139" s="78" t="str">
        <f>IF($R139&lt;&gt;"OK","",IF(AND($L139&lt;&gt;"",$L139&gt;0),IF($M139&lt;=Setup!$C$13,$L139,0),0))</f>
        <v/>
      </c>
      <c r="AA139" s="78" t="str">
        <f>IF($R139&lt;&gt;"OK","",MAX(0,$X139+$Y139-$K139-$Z139))</f>
        <v/>
      </c>
      <c r="AB139" s="78" t="str">
        <f>IF($R139&lt;&gt;"OK","",IF($AA139=0,0,CEILING(MAX($AA139,IF($Q139="",0,$Q139)),IF(OR($P139="",$P139&lt;=0),1,$P139))))</f>
        <v/>
      </c>
      <c r="AC139" s="78" t="str">
        <f>IF($R139&lt;&gt;"OK","",$AB139*$D139)</f>
        <v/>
      </c>
      <c r="AD139" s="93" t="str">
        <f>IF($R139&lt;&gt;"OK","",INDEX(Setup!$D$25:$D$29,MATCH($O139,Setup!$B$25:$B$29,0)))</f>
        <v/>
      </c>
      <c r="AE139" s="93" t="str">
        <f>IF($R139&lt;&gt;"OK","",$AD139-$N139)</f>
        <v/>
      </c>
      <c r="AF139" s="79" t="str">
        <f>IF($R139&lt;&gt;"OK","",IF($AB139=0,"No order needed",IF($AE139&gt;=$AS139,"Order by the deadline",IF(AND($O139&lt;&gt;"Domestic",Setup!$D$27-$N139&gt;=$AS139),"Late by this mode: fly it",IF(Setup!$D$28-$N139&gt;=$AS139,"Late: Express courier only",IF($AG139&lt;Setup!$C$5,"Tight: lands before Black Friday",IF(AND($O139&lt;&gt;"Domestic",$AT139&lt;Setup!$C$5),"Tight: by Air lands before Black Friday",IF($AS139+$N139+Setup!$C$28+Setup!$C$11&lt;Setup!$C$5,"Tight: by Express lands before Black Friday","Too late: ration"))))))))</f>
        <v/>
      </c>
      <c r="AG139" s="93" t="str">
        <f>IF($R139&lt;&gt;"OK","",IF($AB139=0,"",$AS139+$N139+INDEX(Setup!$C$25:$C$29,MATCH($O139,Setup!$B$25:$B$29,0))+Setup!$C$11))</f>
        <v/>
      </c>
      <c r="AH139" s="93" t="str">
        <f>IF($R139&lt;&gt;"OK","",IF($F139&lt;=0,"",INT(IF($K139&lt;($F139*MAX(0,(Setup!$C$5-Setup!$C$7)-Setup!$C$4)),Setup!$C$4+$K139/$F139,IF($K139&lt;($F139*MAX(0,(Setup!$C$5-Setup!$C$7)-Setup!$C$4))+($F139*Setup!$C$8*MAX(0,Setup!$C$5-MAX((Setup!$C$5-Setup!$C$7),Setup!$C$4))),MAX((Setup!$C$5-Setup!$C$7),Setup!$C$4)+($K139-($F139*MAX(0,(Setup!$C$5-Setup!$C$7)-Setup!$C$4)))/($F139*Setup!$C$8),IF(AND($W139&gt;0,$K139&lt;($F139*MAX(0,(Setup!$C$5-Setup!$C$7)-Setup!$C$4))+($F139*Setup!$C$8*MAX(0,Setup!$C$5-MAX((Setup!$C$5-Setup!$C$7),Setup!$C$4)))+($W139/4*MAX(0,Setup!$C$5+4-MAX(Setup!$C$5,Setup!$C$4)))),MAX(Setup!$C$5,Setup!$C$4)+($K139-($F139*MAX(0,(Setup!$C$5-Setup!$C$7)-Setup!$C$4))-($F139*Setup!$C$8*MAX(0,Setup!$C$5-MAX((Setup!$C$5-Setup!$C$7),Setup!$C$4))))/($W139/4),MAX(Setup!$C$5+4,Setup!$C$4)+($K139-($F139*MAX(0,(Setup!$C$5-Setup!$C$7)-Setup!$C$4))-($F139*Setup!$C$8*MAX(0,Setup!$C$5-MAX((Setup!$C$5-Setup!$C$7),Setup!$C$4)))-($W139/4*MAX(0,Setup!$C$5+4-MAX(Setup!$C$5,Setup!$C$4))))/($F139*Setup!$C$14)))))))</f>
        <v/>
      </c>
      <c r="AI139" s="79" t="str">
        <f>IF($R139&lt;&gt;"OK","",IF(AND($L139&lt;&gt;"",$L139&gt;0,ISNUMBER($AH139),$M139&gt;$AH139),"Runs out before the incoming delivery arrives",IF($AB139=0,"OK",IF($K139+IF(AND($L139&lt;&gt;"",$L139&gt;0),IF($M139&lt;=$AG139,$L139,0),0)&lt;($F139*MAX(0,MIN($AG139,(Setup!$C$5-Setup!$C$7))-Setup!$C$4)+$F139*Setup!$C$8*MAX(0,MIN($AG139,Setup!$C$5)-MAX((Setup!$C$5-Setup!$C$7),Setup!$C$4))+$W139/4*MAX(0,MIN($AG139,Setup!$C$5+4)-MAX(Setup!$C$5,Setup!$C$4))+$F139*Setup!$C$14*MAX(0,$AG139-MAX(Setup!$C$5+4,Setup!$C$4))),"Runs out before this order can land","OK"))))</f>
        <v/>
      </c>
      <c r="AJ139" s="78" t="str">
        <f>IF($R139&lt;&gt;"OK","",IF($AB139=0,0,IF($AL139="Too slow: send it all fast",$AB139,$AR139)))</f>
        <v/>
      </c>
      <c r="AK139" s="78" t="str">
        <f>IF($R139&lt;&gt;"OK","",$AB139-$AJ139)</f>
        <v/>
      </c>
      <c r="AL139" s="78" t="str">
        <f>IF($R139&lt;&gt;"OK","",IF($AB139=0,"",IF($AB139-$AR139=0,"Nothing left over",IF($O139="Domestic",IF($AG139&lt;=Setup!$C$6+Setup!$C$20+1,"Later units can go by Domestic","Too slow: send it all fast"),IF($AS139+$N139+Setup!$C$25+Setup!$C$11&lt;=Setup!$C$6+Setup!$C$20+1,"Later units can go by Ocean long",IF($AS139+$N139+Setup!$C$26+Setup!$C$11&lt;=Setup!$C$6+Setup!$C$20+1,"Later units can go by Ocean short",IF($AS139+$N139+Setup!$C$27+Setup!$C$11&lt;=Setup!$C$6+Setup!$C$20+1,"Later units can go by Air",IF($AS139+$N139+Setup!$C$28+Setup!$C$11&lt;=Setup!$C$6+Setup!$C$20+1,"Later units can go by Express","Too slow: send it all fast"))))))))</f>
        <v/>
      </c>
      <c r="AM139" s="94" t="str">
        <f>IF($R139&lt;&gt;"OK","",$E139-$D139)</f>
        <v/>
      </c>
      <c r="AN139" s="95" t="str">
        <f>IF($R139&lt;&gt;"OK","",($E139-$D139)/$D139)</f>
        <v/>
      </c>
      <c r="AO139" s="95" t="str">
        <f>IF($R139&lt;&gt;"OK","",IF($AB139&gt;0,$AN139+IF($C139="Evergreen",1000,0),""))</f>
        <v/>
      </c>
      <c r="AP139" s="78" t="str">
        <f>IF(OR($R139&lt;&gt;"OK",$AO139=""),"",COUNTIF($AO$6:$AO$205,"&gt;"&amp;$AO139)+COUNTIF($AO$6:$AO139,$AO139))</f>
        <v/>
      </c>
      <c r="AQ139" s="78" t="str">
        <f>IF(OR($R139&lt;&gt;"OK",$AP139=""),"",INDEX('Buy list'!$G$5:$G$204,$AP139))</f>
        <v/>
      </c>
      <c r="AR139" s="78" t="str">
        <f>IF($R139&lt;&gt;"OK","",IF($AB139=0,0,MIN($AB139,CEILING(MAX(0,($F139*MAX(0,MIN((Setup!$C$6+1+Setup!$C$20),(Setup!$C$5-Setup!$C$7))-Setup!$C$4)+$F139*Setup!$C$8*MAX(0,MIN((Setup!$C$6+1+Setup!$C$20),Setup!$C$5)-MAX((Setup!$C$5-Setup!$C$7),Setup!$C$4))+$W139/4*MAX(0,MIN((Setup!$C$6+1+Setup!$C$20),Setup!$C$5+4)-MAX(Setup!$C$5,Setup!$C$4))+$F139*Setup!$C$14*MAX(0,(Setup!$C$6+1+Setup!$C$20)-MAX(Setup!$C$5+4,Setup!$C$4)))+$Y139-$K139-IF(AND($L139&lt;&gt;"",$L139&gt;0),IF($M139&lt;=Setup!$C$10,$L139,0),0)),IF(OR($P139="",$P139&lt;=0),1,$P139)))))</f>
        <v/>
      </c>
      <c r="AS139" s="96" t="str">
        <f>IF($R139&lt;&gt;"OK","",IF(AND($O139&lt;&gt;"Domestic",ISNUMBER(Setup!$C$22),Setup!$C$22&gt;Setup!$C$4),Setup!$C$22,Setup!$C$4))</f>
        <v/>
      </c>
      <c r="AT139" s="96" t="str">
        <f>IF($R139&lt;&gt;"OK","",IF($AB139=0,"",IF($O139="Domestic",$AG139,$AS139+$N139+Setup!$C$27+Setup!$C$11)))</f>
        <v/>
      </c>
    </row>
    <row r="140" ht="15" customHeight="1" s="46">
      <c r="A140" s="70" t="n"/>
      <c r="B140" s="70" t="n"/>
      <c r="C140" s="70" t="n"/>
      <c r="D140" s="85" t="n"/>
      <c r="E140" s="85" t="n"/>
      <c r="F140" s="86" t="n"/>
      <c r="G140" s="87" t="n"/>
      <c r="H140" s="88" t="n"/>
      <c r="I140" s="89" t="n"/>
      <c r="J140" s="90" t="n"/>
      <c r="K140" s="87" t="n"/>
      <c r="L140" s="87" t="n"/>
      <c r="M140" s="91" t="n"/>
      <c r="N140" s="92" t="n"/>
      <c r="O140" s="70" t="n"/>
      <c r="P140" s="92" t="n"/>
      <c r="Q140" s="87" t="n"/>
      <c r="R140" s="79" t="str">
        <f>IF($A140="","",IF($C140="","Missing: type",IF(OR($D140="",$D140&lt;=0),"Missing: unit cost",IF($E140="","Missing: unit price",IF($F140="","Missing: daily sales",IF($K140="","Missing: on hand",IF($N140="","Missing: production days",IF($O140="","Missing: freight mode",IF(ISNA(MATCH($O140,Setup!$B$25:$B$29,0)),"Unknown freight mode",IF(AND($L140&lt;&gt;"",$L140&gt;0,$M140=""),"Missing: on-order arrival date","OK"))))))))))</f>
        <v/>
      </c>
      <c r="S140" s="78" t="str">
        <f>IF($R140&lt;&gt;"OK","",IF($G140="","",ROUND($G140/IF(OR($H140="",$H140&lt;=0),4,$H140)*4,0)))</f>
        <v/>
      </c>
      <c r="T140" s="78" t="str">
        <f>IF($R140&lt;&gt;"OK","",ROUND(IF($G140="",$F140*4*Setup!$C$19,$G140/IF(OR($H140="",$H140&lt;=0),4,$H140)*4*(1+IF($I140="",Setup!$C$16,$I140)))*IF($J140="",1,$J140),0))</f>
        <v/>
      </c>
      <c r="U140" s="78" t="str">
        <f>IF($R140&lt;&gt;"OK","",ROUND($T140*Setup!$C$17,0))</f>
        <v/>
      </c>
      <c r="V140" s="78" t="str">
        <f>IF($R140&lt;&gt;"OK","",ROUND($T140*Setup!$C$18,0))</f>
        <v/>
      </c>
      <c r="W140" s="78" t="str">
        <f>IF($R140&lt;&gt;"OK","",IF($C140="Evergreen",$V140,IF($C140="Seasonal or new",$U140,$T140)))</f>
        <v/>
      </c>
      <c r="X140" s="78" t="str">
        <f>IF($R140&lt;&gt;"OK","",ROUND(($F140*MAX(0,MIN(Setup!$C$13+1,(Setup!$C$5-Setup!$C$7))-Setup!$C$4)+$F140*Setup!$C$8*MAX(0,MIN(Setup!$C$13+1,Setup!$C$5)-MAX((Setup!$C$5-Setup!$C$7),Setup!$C$4))+$W140/4*MAX(0,MIN(Setup!$C$13+1,Setup!$C$5+4)-MAX(Setup!$C$5,Setup!$C$4))+$F140*Setup!$C$14*MAX(0,Setup!$C$13+1-MAX(Setup!$C$5+4,Setup!$C$4))),0))</f>
        <v/>
      </c>
      <c r="Y140" s="78" t="str">
        <f>IF($R140&lt;&gt;"OK","",ROUND($F140*Setup!$C$15,0))</f>
        <v/>
      </c>
      <c r="Z140" s="78" t="str">
        <f>IF($R140&lt;&gt;"OK","",IF(AND($L140&lt;&gt;"",$L140&gt;0),IF($M140&lt;=Setup!$C$13,$L140,0),0))</f>
        <v/>
      </c>
      <c r="AA140" s="78" t="str">
        <f>IF($R140&lt;&gt;"OK","",MAX(0,$X140+$Y140-$K140-$Z140))</f>
        <v/>
      </c>
      <c r="AB140" s="78" t="str">
        <f>IF($R140&lt;&gt;"OK","",IF($AA140=0,0,CEILING(MAX($AA140,IF($Q140="",0,$Q140)),IF(OR($P140="",$P140&lt;=0),1,$P140))))</f>
        <v/>
      </c>
      <c r="AC140" s="78" t="str">
        <f>IF($R140&lt;&gt;"OK","",$AB140*$D140)</f>
        <v/>
      </c>
      <c r="AD140" s="93" t="str">
        <f>IF($R140&lt;&gt;"OK","",INDEX(Setup!$D$25:$D$29,MATCH($O140,Setup!$B$25:$B$29,0)))</f>
        <v/>
      </c>
      <c r="AE140" s="93" t="str">
        <f>IF($R140&lt;&gt;"OK","",$AD140-$N140)</f>
        <v/>
      </c>
      <c r="AF140" s="79" t="str">
        <f>IF($R140&lt;&gt;"OK","",IF($AB140=0,"No order needed",IF($AE140&gt;=$AS140,"Order by the deadline",IF(AND($O140&lt;&gt;"Domestic",Setup!$D$27-$N140&gt;=$AS140),"Late by this mode: fly it",IF(Setup!$D$28-$N140&gt;=$AS140,"Late: Express courier only",IF($AG140&lt;Setup!$C$5,"Tight: lands before Black Friday",IF(AND($O140&lt;&gt;"Domestic",$AT140&lt;Setup!$C$5),"Tight: by Air lands before Black Friday",IF($AS140+$N140+Setup!$C$28+Setup!$C$11&lt;Setup!$C$5,"Tight: by Express lands before Black Friday","Too late: ration"))))))))</f>
        <v/>
      </c>
      <c r="AG140" s="93" t="str">
        <f>IF($R140&lt;&gt;"OK","",IF($AB140=0,"",$AS140+$N140+INDEX(Setup!$C$25:$C$29,MATCH($O140,Setup!$B$25:$B$29,0))+Setup!$C$11))</f>
        <v/>
      </c>
      <c r="AH140" s="93" t="str">
        <f>IF($R140&lt;&gt;"OK","",IF($F140&lt;=0,"",INT(IF($K140&lt;($F140*MAX(0,(Setup!$C$5-Setup!$C$7)-Setup!$C$4)),Setup!$C$4+$K140/$F140,IF($K140&lt;($F140*MAX(0,(Setup!$C$5-Setup!$C$7)-Setup!$C$4))+($F140*Setup!$C$8*MAX(0,Setup!$C$5-MAX((Setup!$C$5-Setup!$C$7),Setup!$C$4))),MAX((Setup!$C$5-Setup!$C$7),Setup!$C$4)+($K140-($F140*MAX(0,(Setup!$C$5-Setup!$C$7)-Setup!$C$4)))/($F140*Setup!$C$8),IF(AND($W140&gt;0,$K140&lt;($F140*MAX(0,(Setup!$C$5-Setup!$C$7)-Setup!$C$4))+($F140*Setup!$C$8*MAX(0,Setup!$C$5-MAX((Setup!$C$5-Setup!$C$7),Setup!$C$4)))+($W140/4*MAX(0,Setup!$C$5+4-MAX(Setup!$C$5,Setup!$C$4)))),MAX(Setup!$C$5,Setup!$C$4)+($K140-($F140*MAX(0,(Setup!$C$5-Setup!$C$7)-Setup!$C$4))-($F140*Setup!$C$8*MAX(0,Setup!$C$5-MAX((Setup!$C$5-Setup!$C$7),Setup!$C$4))))/($W140/4),MAX(Setup!$C$5+4,Setup!$C$4)+($K140-($F140*MAX(0,(Setup!$C$5-Setup!$C$7)-Setup!$C$4))-($F140*Setup!$C$8*MAX(0,Setup!$C$5-MAX((Setup!$C$5-Setup!$C$7),Setup!$C$4)))-($W140/4*MAX(0,Setup!$C$5+4-MAX(Setup!$C$5,Setup!$C$4))))/($F140*Setup!$C$14)))))))</f>
        <v/>
      </c>
      <c r="AI140" s="79" t="str">
        <f>IF($R140&lt;&gt;"OK","",IF(AND($L140&lt;&gt;"",$L140&gt;0,ISNUMBER($AH140),$M140&gt;$AH140),"Runs out before the incoming delivery arrives",IF($AB140=0,"OK",IF($K140+IF(AND($L140&lt;&gt;"",$L140&gt;0),IF($M140&lt;=$AG140,$L140,0),0)&lt;($F140*MAX(0,MIN($AG140,(Setup!$C$5-Setup!$C$7))-Setup!$C$4)+$F140*Setup!$C$8*MAX(0,MIN($AG140,Setup!$C$5)-MAX((Setup!$C$5-Setup!$C$7),Setup!$C$4))+$W140/4*MAX(0,MIN($AG140,Setup!$C$5+4)-MAX(Setup!$C$5,Setup!$C$4))+$F140*Setup!$C$14*MAX(0,$AG140-MAX(Setup!$C$5+4,Setup!$C$4))),"Runs out before this order can land","OK"))))</f>
        <v/>
      </c>
      <c r="AJ140" s="78" t="str">
        <f>IF($R140&lt;&gt;"OK","",IF($AB140=0,0,IF($AL140="Too slow: send it all fast",$AB140,$AR140)))</f>
        <v/>
      </c>
      <c r="AK140" s="78" t="str">
        <f>IF($R140&lt;&gt;"OK","",$AB140-$AJ140)</f>
        <v/>
      </c>
      <c r="AL140" s="78" t="str">
        <f>IF($R140&lt;&gt;"OK","",IF($AB140=0,"",IF($AB140-$AR140=0,"Nothing left over",IF($O140="Domestic",IF($AG140&lt;=Setup!$C$6+Setup!$C$20+1,"Later units can go by Domestic","Too slow: send it all fast"),IF($AS140+$N140+Setup!$C$25+Setup!$C$11&lt;=Setup!$C$6+Setup!$C$20+1,"Later units can go by Ocean long",IF($AS140+$N140+Setup!$C$26+Setup!$C$11&lt;=Setup!$C$6+Setup!$C$20+1,"Later units can go by Ocean short",IF($AS140+$N140+Setup!$C$27+Setup!$C$11&lt;=Setup!$C$6+Setup!$C$20+1,"Later units can go by Air",IF($AS140+$N140+Setup!$C$28+Setup!$C$11&lt;=Setup!$C$6+Setup!$C$20+1,"Later units can go by Express","Too slow: send it all fast"))))))))</f>
        <v/>
      </c>
      <c r="AM140" s="94" t="str">
        <f>IF($R140&lt;&gt;"OK","",$E140-$D140)</f>
        <v/>
      </c>
      <c r="AN140" s="95" t="str">
        <f>IF($R140&lt;&gt;"OK","",($E140-$D140)/$D140)</f>
        <v/>
      </c>
      <c r="AO140" s="95" t="str">
        <f>IF($R140&lt;&gt;"OK","",IF($AB140&gt;0,$AN140+IF($C140="Evergreen",1000,0),""))</f>
        <v/>
      </c>
      <c r="AP140" s="78" t="str">
        <f>IF(OR($R140&lt;&gt;"OK",$AO140=""),"",COUNTIF($AO$6:$AO$205,"&gt;"&amp;$AO140)+COUNTIF($AO$6:$AO140,$AO140))</f>
        <v/>
      </c>
      <c r="AQ140" s="78" t="str">
        <f>IF(OR($R140&lt;&gt;"OK",$AP140=""),"",INDEX('Buy list'!$G$5:$G$204,$AP140))</f>
        <v/>
      </c>
      <c r="AR140" s="78" t="str">
        <f>IF($R140&lt;&gt;"OK","",IF($AB140=0,0,MIN($AB140,CEILING(MAX(0,($F140*MAX(0,MIN((Setup!$C$6+1+Setup!$C$20),(Setup!$C$5-Setup!$C$7))-Setup!$C$4)+$F140*Setup!$C$8*MAX(0,MIN((Setup!$C$6+1+Setup!$C$20),Setup!$C$5)-MAX((Setup!$C$5-Setup!$C$7),Setup!$C$4))+$W140/4*MAX(0,MIN((Setup!$C$6+1+Setup!$C$20),Setup!$C$5+4)-MAX(Setup!$C$5,Setup!$C$4))+$F140*Setup!$C$14*MAX(0,(Setup!$C$6+1+Setup!$C$20)-MAX(Setup!$C$5+4,Setup!$C$4)))+$Y140-$K140-IF(AND($L140&lt;&gt;"",$L140&gt;0),IF($M140&lt;=Setup!$C$10,$L140,0),0)),IF(OR($P140="",$P140&lt;=0),1,$P140)))))</f>
        <v/>
      </c>
      <c r="AS140" s="96" t="str">
        <f>IF($R140&lt;&gt;"OK","",IF(AND($O140&lt;&gt;"Domestic",ISNUMBER(Setup!$C$22),Setup!$C$22&gt;Setup!$C$4),Setup!$C$22,Setup!$C$4))</f>
        <v/>
      </c>
      <c r="AT140" s="96" t="str">
        <f>IF($R140&lt;&gt;"OK","",IF($AB140=0,"",IF($O140="Domestic",$AG140,$AS140+$N140+Setup!$C$27+Setup!$C$11)))</f>
        <v/>
      </c>
    </row>
    <row r="141" ht="15" customHeight="1" s="46">
      <c r="A141" s="70" t="n"/>
      <c r="B141" s="70" t="n"/>
      <c r="C141" s="70" t="n"/>
      <c r="D141" s="85" t="n"/>
      <c r="E141" s="85" t="n"/>
      <c r="F141" s="86" t="n"/>
      <c r="G141" s="87" t="n"/>
      <c r="H141" s="88" t="n"/>
      <c r="I141" s="89" t="n"/>
      <c r="J141" s="90" t="n"/>
      <c r="K141" s="87" t="n"/>
      <c r="L141" s="87" t="n"/>
      <c r="M141" s="91" t="n"/>
      <c r="N141" s="92" t="n"/>
      <c r="O141" s="70" t="n"/>
      <c r="P141" s="92" t="n"/>
      <c r="Q141" s="87" t="n"/>
      <c r="R141" s="79" t="str">
        <f>IF($A141="","",IF($C141="","Missing: type",IF(OR($D141="",$D141&lt;=0),"Missing: unit cost",IF($E141="","Missing: unit price",IF($F141="","Missing: daily sales",IF($K141="","Missing: on hand",IF($N141="","Missing: production days",IF($O141="","Missing: freight mode",IF(ISNA(MATCH($O141,Setup!$B$25:$B$29,0)),"Unknown freight mode",IF(AND($L141&lt;&gt;"",$L141&gt;0,$M141=""),"Missing: on-order arrival date","OK"))))))))))</f>
        <v/>
      </c>
      <c r="S141" s="78" t="str">
        <f>IF($R141&lt;&gt;"OK","",IF($G141="","",ROUND($G141/IF(OR($H141="",$H141&lt;=0),4,$H141)*4,0)))</f>
        <v/>
      </c>
      <c r="T141" s="78" t="str">
        <f>IF($R141&lt;&gt;"OK","",ROUND(IF($G141="",$F141*4*Setup!$C$19,$G141/IF(OR($H141="",$H141&lt;=0),4,$H141)*4*(1+IF($I141="",Setup!$C$16,$I141)))*IF($J141="",1,$J141),0))</f>
        <v/>
      </c>
      <c r="U141" s="78" t="str">
        <f>IF($R141&lt;&gt;"OK","",ROUND($T141*Setup!$C$17,0))</f>
        <v/>
      </c>
      <c r="V141" s="78" t="str">
        <f>IF($R141&lt;&gt;"OK","",ROUND($T141*Setup!$C$18,0))</f>
        <v/>
      </c>
      <c r="W141" s="78" t="str">
        <f>IF($R141&lt;&gt;"OK","",IF($C141="Evergreen",$V141,IF($C141="Seasonal or new",$U141,$T141)))</f>
        <v/>
      </c>
      <c r="X141" s="78" t="str">
        <f>IF($R141&lt;&gt;"OK","",ROUND(($F141*MAX(0,MIN(Setup!$C$13+1,(Setup!$C$5-Setup!$C$7))-Setup!$C$4)+$F141*Setup!$C$8*MAX(0,MIN(Setup!$C$13+1,Setup!$C$5)-MAX((Setup!$C$5-Setup!$C$7),Setup!$C$4))+$W141/4*MAX(0,MIN(Setup!$C$13+1,Setup!$C$5+4)-MAX(Setup!$C$5,Setup!$C$4))+$F141*Setup!$C$14*MAX(0,Setup!$C$13+1-MAX(Setup!$C$5+4,Setup!$C$4))),0))</f>
        <v/>
      </c>
      <c r="Y141" s="78" t="str">
        <f>IF($R141&lt;&gt;"OK","",ROUND($F141*Setup!$C$15,0))</f>
        <v/>
      </c>
      <c r="Z141" s="78" t="str">
        <f>IF($R141&lt;&gt;"OK","",IF(AND($L141&lt;&gt;"",$L141&gt;0),IF($M141&lt;=Setup!$C$13,$L141,0),0))</f>
        <v/>
      </c>
      <c r="AA141" s="78" t="str">
        <f>IF($R141&lt;&gt;"OK","",MAX(0,$X141+$Y141-$K141-$Z141))</f>
        <v/>
      </c>
      <c r="AB141" s="78" t="str">
        <f>IF($R141&lt;&gt;"OK","",IF($AA141=0,0,CEILING(MAX($AA141,IF($Q141="",0,$Q141)),IF(OR($P141="",$P141&lt;=0),1,$P141))))</f>
        <v/>
      </c>
      <c r="AC141" s="78" t="str">
        <f>IF($R141&lt;&gt;"OK","",$AB141*$D141)</f>
        <v/>
      </c>
      <c r="AD141" s="93" t="str">
        <f>IF($R141&lt;&gt;"OK","",INDEX(Setup!$D$25:$D$29,MATCH($O141,Setup!$B$25:$B$29,0)))</f>
        <v/>
      </c>
      <c r="AE141" s="93" t="str">
        <f>IF($R141&lt;&gt;"OK","",$AD141-$N141)</f>
        <v/>
      </c>
      <c r="AF141" s="79" t="str">
        <f>IF($R141&lt;&gt;"OK","",IF($AB141=0,"No order needed",IF($AE141&gt;=$AS141,"Order by the deadline",IF(AND($O141&lt;&gt;"Domestic",Setup!$D$27-$N141&gt;=$AS141),"Late by this mode: fly it",IF(Setup!$D$28-$N141&gt;=$AS141,"Late: Express courier only",IF($AG141&lt;Setup!$C$5,"Tight: lands before Black Friday",IF(AND($O141&lt;&gt;"Domestic",$AT141&lt;Setup!$C$5),"Tight: by Air lands before Black Friday",IF($AS141+$N141+Setup!$C$28+Setup!$C$11&lt;Setup!$C$5,"Tight: by Express lands before Black Friday","Too late: ration"))))))))</f>
        <v/>
      </c>
      <c r="AG141" s="93" t="str">
        <f>IF($R141&lt;&gt;"OK","",IF($AB141=0,"",$AS141+$N141+INDEX(Setup!$C$25:$C$29,MATCH($O141,Setup!$B$25:$B$29,0))+Setup!$C$11))</f>
        <v/>
      </c>
      <c r="AH141" s="93" t="str">
        <f>IF($R141&lt;&gt;"OK","",IF($F141&lt;=0,"",INT(IF($K141&lt;($F141*MAX(0,(Setup!$C$5-Setup!$C$7)-Setup!$C$4)),Setup!$C$4+$K141/$F141,IF($K141&lt;($F141*MAX(0,(Setup!$C$5-Setup!$C$7)-Setup!$C$4))+($F141*Setup!$C$8*MAX(0,Setup!$C$5-MAX((Setup!$C$5-Setup!$C$7),Setup!$C$4))),MAX((Setup!$C$5-Setup!$C$7),Setup!$C$4)+($K141-($F141*MAX(0,(Setup!$C$5-Setup!$C$7)-Setup!$C$4)))/($F141*Setup!$C$8),IF(AND($W141&gt;0,$K141&lt;($F141*MAX(0,(Setup!$C$5-Setup!$C$7)-Setup!$C$4))+($F141*Setup!$C$8*MAX(0,Setup!$C$5-MAX((Setup!$C$5-Setup!$C$7),Setup!$C$4)))+($W141/4*MAX(0,Setup!$C$5+4-MAX(Setup!$C$5,Setup!$C$4)))),MAX(Setup!$C$5,Setup!$C$4)+($K141-($F141*MAX(0,(Setup!$C$5-Setup!$C$7)-Setup!$C$4))-($F141*Setup!$C$8*MAX(0,Setup!$C$5-MAX((Setup!$C$5-Setup!$C$7),Setup!$C$4))))/($W141/4),MAX(Setup!$C$5+4,Setup!$C$4)+($K141-($F141*MAX(0,(Setup!$C$5-Setup!$C$7)-Setup!$C$4))-($F141*Setup!$C$8*MAX(0,Setup!$C$5-MAX((Setup!$C$5-Setup!$C$7),Setup!$C$4)))-($W141/4*MAX(0,Setup!$C$5+4-MAX(Setup!$C$5,Setup!$C$4))))/($F141*Setup!$C$14)))))))</f>
        <v/>
      </c>
      <c r="AI141" s="79" t="str">
        <f>IF($R141&lt;&gt;"OK","",IF(AND($L141&lt;&gt;"",$L141&gt;0,ISNUMBER($AH141),$M141&gt;$AH141),"Runs out before the incoming delivery arrives",IF($AB141=0,"OK",IF($K141+IF(AND($L141&lt;&gt;"",$L141&gt;0),IF($M141&lt;=$AG141,$L141,0),0)&lt;($F141*MAX(0,MIN($AG141,(Setup!$C$5-Setup!$C$7))-Setup!$C$4)+$F141*Setup!$C$8*MAX(0,MIN($AG141,Setup!$C$5)-MAX((Setup!$C$5-Setup!$C$7),Setup!$C$4))+$W141/4*MAX(0,MIN($AG141,Setup!$C$5+4)-MAX(Setup!$C$5,Setup!$C$4))+$F141*Setup!$C$14*MAX(0,$AG141-MAX(Setup!$C$5+4,Setup!$C$4))),"Runs out before this order can land","OK"))))</f>
        <v/>
      </c>
      <c r="AJ141" s="78" t="str">
        <f>IF($R141&lt;&gt;"OK","",IF($AB141=0,0,IF($AL141="Too slow: send it all fast",$AB141,$AR141)))</f>
        <v/>
      </c>
      <c r="AK141" s="78" t="str">
        <f>IF($R141&lt;&gt;"OK","",$AB141-$AJ141)</f>
        <v/>
      </c>
      <c r="AL141" s="78" t="str">
        <f>IF($R141&lt;&gt;"OK","",IF($AB141=0,"",IF($AB141-$AR141=0,"Nothing left over",IF($O141="Domestic",IF($AG141&lt;=Setup!$C$6+Setup!$C$20+1,"Later units can go by Domestic","Too slow: send it all fast"),IF($AS141+$N141+Setup!$C$25+Setup!$C$11&lt;=Setup!$C$6+Setup!$C$20+1,"Later units can go by Ocean long",IF($AS141+$N141+Setup!$C$26+Setup!$C$11&lt;=Setup!$C$6+Setup!$C$20+1,"Later units can go by Ocean short",IF($AS141+$N141+Setup!$C$27+Setup!$C$11&lt;=Setup!$C$6+Setup!$C$20+1,"Later units can go by Air",IF($AS141+$N141+Setup!$C$28+Setup!$C$11&lt;=Setup!$C$6+Setup!$C$20+1,"Later units can go by Express","Too slow: send it all fast"))))))))</f>
        <v/>
      </c>
      <c r="AM141" s="94" t="str">
        <f>IF($R141&lt;&gt;"OK","",$E141-$D141)</f>
        <v/>
      </c>
      <c r="AN141" s="95" t="str">
        <f>IF($R141&lt;&gt;"OK","",($E141-$D141)/$D141)</f>
        <v/>
      </c>
      <c r="AO141" s="95" t="str">
        <f>IF($R141&lt;&gt;"OK","",IF($AB141&gt;0,$AN141+IF($C141="Evergreen",1000,0),""))</f>
        <v/>
      </c>
      <c r="AP141" s="78" t="str">
        <f>IF(OR($R141&lt;&gt;"OK",$AO141=""),"",COUNTIF($AO$6:$AO$205,"&gt;"&amp;$AO141)+COUNTIF($AO$6:$AO141,$AO141))</f>
        <v/>
      </c>
      <c r="AQ141" s="78" t="str">
        <f>IF(OR($R141&lt;&gt;"OK",$AP141=""),"",INDEX('Buy list'!$G$5:$G$204,$AP141))</f>
        <v/>
      </c>
      <c r="AR141" s="78" t="str">
        <f>IF($R141&lt;&gt;"OK","",IF($AB141=0,0,MIN($AB141,CEILING(MAX(0,($F141*MAX(0,MIN((Setup!$C$6+1+Setup!$C$20),(Setup!$C$5-Setup!$C$7))-Setup!$C$4)+$F141*Setup!$C$8*MAX(0,MIN((Setup!$C$6+1+Setup!$C$20),Setup!$C$5)-MAX((Setup!$C$5-Setup!$C$7),Setup!$C$4))+$W141/4*MAX(0,MIN((Setup!$C$6+1+Setup!$C$20),Setup!$C$5+4)-MAX(Setup!$C$5,Setup!$C$4))+$F141*Setup!$C$14*MAX(0,(Setup!$C$6+1+Setup!$C$20)-MAX(Setup!$C$5+4,Setup!$C$4)))+$Y141-$K141-IF(AND($L141&lt;&gt;"",$L141&gt;0),IF($M141&lt;=Setup!$C$10,$L141,0),0)),IF(OR($P141="",$P141&lt;=0),1,$P141)))))</f>
        <v/>
      </c>
      <c r="AS141" s="96" t="str">
        <f>IF($R141&lt;&gt;"OK","",IF(AND($O141&lt;&gt;"Domestic",ISNUMBER(Setup!$C$22),Setup!$C$22&gt;Setup!$C$4),Setup!$C$22,Setup!$C$4))</f>
        <v/>
      </c>
      <c r="AT141" s="96" t="str">
        <f>IF($R141&lt;&gt;"OK","",IF($AB141=0,"",IF($O141="Domestic",$AG141,$AS141+$N141+Setup!$C$27+Setup!$C$11)))</f>
        <v/>
      </c>
    </row>
    <row r="142" ht="15" customHeight="1" s="46">
      <c r="A142" s="70" t="n"/>
      <c r="B142" s="70" t="n"/>
      <c r="C142" s="70" t="n"/>
      <c r="D142" s="85" t="n"/>
      <c r="E142" s="85" t="n"/>
      <c r="F142" s="86" t="n"/>
      <c r="G142" s="87" t="n"/>
      <c r="H142" s="88" t="n"/>
      <c r="I142" s="89" t="n"/>
      <c r="J142" s="90" t="n"/>
      <c r="K142" s="87" t="n"/>
      <c r="L142" s="87" t="n"/>
      <c r="M142" s="91" t="n"/>
      <c r="N142" s="92" t="n"/>
      <c r="O142" s="70" t="n"/>
      <c r="P142" s="92" t="n"/>
      <c r="Q142" s="87" t="n"/>
      <c r="R142" s="79" t="str">
        <f>IF($A142="","",IF($C142="","Missing: type",IF(OR($D142="",$D142&lt;=0),"Missing: unit cost",IF($E142="","Missing: unit price",IF($F142="","Missing: daily sales",IF($K142="","Missing: on hand",IF($N142="","Missing: production days",IF($O142="","Missing: freight mode",IF(ISNA(MATCH($O142,Setup!$B$25:$B$29,0)),"Unknown freight mode",IF(AND($L142&lt;&gt;"",$L142&gt;0,$M142=""),"Missing: on-order arrival date","OK"))))))))))</f>
        <v/>
      </c>
      <c r="S142" s="78" t="str">
        <f>IF($R142&lt;&gt;"OK","",IF($G142="","",ROUND($G142/IF(OR($H142="",$H142&lt;=0),4,$H142)*4,0)))</f>
        <v/>
      </c>
      <c r="T142" s="78" t="str">
        <f>IF($R142&lt;&gt;"OK","",ROUND(IF($G142="",$F142*4*Setup!$C$19,$G142/IF(OR($H142="",$H142&lt;=0),4,$H142)*4*(1+IF($I142="",Setup!$C$16,$I142)))*IF($J142="",1,$J142),0))</f>
        <v/>
      </c>
      <c r="U142" s="78" t="str">
        <f>IF($R142&lt;&gt;"OK","",ROUND($T142*Setup!$C$17,0))</f>
        <v/>
      </c>
      <c r="V142" s="78" t="str">
        <f>IF($R142&lt;&gt;"OK","",ROUND($T142*Setup!$C$18,0))</f>
        <v/>
      </c>
      <c r="W142" s="78" t="str">
        <f>IF($R142&lt;&gt;"OK","",IF($C142="Evergreen",$V142,IF($C142="Seasonal or new",$U142,$T142)))</f>
        <v/>
      </c>
      <c r="X142" s="78" t="str">
        <f>IF($R142&lt;&gt;"OK","",ROUND(($F142*MAX(0,MIN(Setup!$C$13+1,(Setup!$C$5-Setup!$C$7))-Setup!$C$4)+$F142*Setup!$C$8*MAX(0,MIN(Setup!$C$13+1,Setup!$C$5)-MAX((Setup!$C$5-Setup!$C$7),Setup!$C$4))+$W142/4*MAX(0,MIN(Setup!$C$13+1,Setup!$C$5+4)-MAX(Setup!$C$5,Setup!$C$4))+$F142*Setup!$C$14*MAX(0,Setup!$C$13+1-MAX(Setup!$C$5+4,Setup!$C$4))),0))</f>
        <v/>
      </c>
      <c r="Y142" s="78" t="str">
        <f>IF($R142&lt;&gt;"OK","",ROUND($F142*Setup!$C$15,0))</f>
        <v/>
      </c>
      <c r="Z142" s="78" t="str">
        <f>IF($R142&lt;&gt;"OK","",IF(AND($L142&lt;&gt;"",$L142&gt;0),IF($M142&lt;=Setup!$C$13,$L142,0),0))</f>
        <v/>
      </c>
      <c r="AA142" s="78" t="str">
        <f>IF($R142&lt;&gt;"OK","",MAX(0,$X142+$Y142-$K142-$Z142))</f>
        <v/>
      </c>
      <c r="AB142" s="78" t="str">
        <f>IF($R142&lt;&gt;"OK","",IF($AA142=0,0,CEILING(MAX($AA142,IF($Q142="",0,$Q142)),IF(OR($P142="",$P142&lt;=0),1,$P142))))</f>
        <v/>
      </c>
      <c r="AC142" s="78" t="str">
        <f>IF($R142&lt;&gt;"OK","",$AB142*$D142)</f>
        <v/>
      </c>
      <c r="AD142" s="93" t="str">
        <f>IF($R142&lt;&gt;"OK","",INDEX(Setup!$D$25:$D$29,MATCH($O142,Setup!$B$25:$B$29,0)))</f>
        <v/>
      </c>
      <c r="AE142" s="93" t="str">
        <f>IF($R142&lt;&gt;"OK","",$AD142-$N142)</f>
        <v/>
      </c>
      <c r="AF142" s="79" t="str">
        <f>IF($R142&lt;&gt;"OK","",IF($AB142=0,"No order needed",IF($AE142&gt;=$AS142,"Order by the deadline",IF(AND($O142&lt;&gt;"Domestic",Setup!$D$27-$N142&gt;=$AS142),"Late by this mode: fly it",IF(Setup!$D$28-$N142&gt;=$AS142,"Late: Express courier only",IF($AG142&lt;Setup!$C$5,"Tight: lands before Black Friday",IF(AND($O142&lt;&gt;"Domestic",$AT142&lt;Setup!$C$5),"Tight: by Air lands before Black Friday",IF($AS142+$N142+Setup!$C$28+Setup!$C$11&lt;Setup!$C$5,"Tight: by Express lands before Black Friday","Too late: ration"))))))))</f>
        <v/>
      </c>
      <c r="AG142" s="93" t="str">
        <f>IF($R142&lt;&gt;"OK","",IF($AB142=0,"",$AS142+$N142+INDEX(Setup!$C$25:$C$29,MATCH($O142,Setup!$B$25:$B$29,0))+Setup!$C$11))</f>
        <v/>
      </c>
      <c r="AH142" s="93" t="str">
        <f>IF($R142&lt;&gt;"OK","",IF($F142&lt;=0,"",INT(IF($K142&lt;($F142*MAX(0,(Setup!$C$5-Setup!$C$7)-Setup!$C$4)),Setup!$C$4+$K142/$F142,IF($K142&lt;($F142*MAX(0,(Setup!$C$5-Setup!$C$7)-Setup!$C$4))+($F142*Setup!$C$8*MAX(0,Setup!$C$5-MAX((Setup!$C$5-Setup!$C$7),Setup!$C$4))),MAX((Setup!$C$5-Setup!$C$7),Setup!$C$4)+($K142-($F142*MAX(0,(Setup!$C$5-Setup!$C$7)-Setup!$C$4)))/($F142*Setup!$C$8),IF(AND($W142&gt;0,$K142&lt;($F142*MAX(0,(Setup!$C$5-Setup!$C$7)-Setup!$C$4))+($F142*Setup!$C$8*MAX(0,Setup!$C$5-MAX((Setup!$C$5-Setup!$C$7),Setup!$C$4)))+($W142/4*MAX(0,Setup!$C$5+4-MAX(Setup!$C$5,Setup!$C$4)))),MAX(Setup!$C$5,Setup!$C$4)+($K142-($F142*MAX(0,(Setup!$C$5-Setup!$C$7)-Setup!$C$4))-($F142*Setup!$C$8*MAX(0,Setup!$C$5-MAX((Setup!$C$5-Setup!$C$7),Setup!$C$4))))/($W142/4),MAX(Setup!$C$5+4,Setup!$C$4)+($K142-($F142*MAX(0,(Setup!$C$5-Setup!$C$7)-Setup!$C$4))-($F142*Setup!$C$8*MAX(0,Setup!$C$5-MAX((Setup!$C$5-Setup!$C$7),Setup!$C$4)))-($W142/4*MAX(0,Setup!$C$5+4-MAX(Setup!$C$5,Setup!$C$4))))/($F142*Setup!$C$14)))))))</f>
        <v/>
      </c>
      <c r="AI142" s="79" t="str">
        <f>IF($R142&lt;&gt;"OK","",IF(AND($L142&lt;&gt;"",$L142&gt;0,ISNUMBER($AH142),$M142&gt;$AH142),"Runs out before the incoming delivery arrives",IF($AB142=0,"OK",IF($K142+IF(AND($L142&lt;&gt;"",$L142&gt;0),IF($M142&lt;=$AG142,$L142,0),0)&lt;($F142*MAX(0,MIN($AG142,(Setup!$C$5-Setup!$C$7))-Setup!$C$4)+$F142*Setup!$C$8*MAX(0,MIN($AG142,Setup!$C$5)-MAX((Setup!$C$5-Setup!$C$7),Setup!$C$4))+$W142/4*MAX(0,MIN($AG142,Setup!$C$5+4)-MAX(Setup!$C$5,Setup!$C$4))+$F142*Setup!$C$14*MAX(0,$AG142-MAX(Setup!$C$5+4,Setup!$C$4))),"Runs out before this order can land","OK"))))</f>
        <v/>
      </c>
      <c r="AJ142" s="78" t="str">
        <f>IF($R142&lt;&gt;"OK","",IF($AB142=0,0,IF($AL142="Too slow: send it all fast",$AB142,$AR142)))</f>
        <v/>
      </c>
      <c r="AK142" s="78" t="str">
        <f>IF($R142&lt;&gt;"OK","",$AB142-$AJ142)</f>
        <v/>
      </c>
      <c r="AL142" s="78" t="str">
        <f>IF($R142&lt;&gt;"OK","",IF($AB142=0,"",IF($AB142-$AR142=0,"Nothing left over",IF($O142="Domestic",IF($AG142&lt;=Setup!$C$6+Setup!$C$20+1,"Later units can go by Domestic","Too slow: send it all fast"),IF($AS142+$N142+Setup!$C$25+Setup!$C$11&lt;=Setup!$C$6+Setup!$C$20+1,"Later units can go by Ocean long",IF($AS142+$N142+Setup!$C$26+Setup!$C$11&lt;=Setup!$C$6+Setup!$C$20+1,"Later units can go by Ocean short",IF($AS142+$N142+Setup!$C$27+Setup!$C$11&lt;=Setup!$C$6+Setup!$C$20+1,"Later units can go by Air",IF($AS142+$N142+Setup!$C$28+Setup!$C$11&lt;=Setup!$C$6+Setup!$C$20+1,"Later units can go by Express","Too slow: send it all fast"))))))))</f>
        <v/>
      </c>
      <c r="AM142" s="94" t="str">
        <f>IF($R142&lt;&gt;"OK","",$E142-$D142)</f>
        <v/>
      </c>
      <c r="AN142" s="95" t="str">
        <f>IF($R142&lt;&gt;"OK","",($E142-$D142)/$D142)</f>
        <v/>
      </c>
      <c r="AO142" s="95" t="str">
        <f>IF($R142&lt;&gt;"OK","",IF($AB142&gt;0,$AN142+IF($C142="Evergreen",1000,0),""))</f>
        <v/>
      </c>
      <c r="AP142" s="78" t="str">
        <f>IF(OR($R142&lt;&gt;"OK",$AO142=""),"",COUNTIF($AO$6:$AO$205,"&gt;"&amp;$AO142)+COUNTIF($AO$6:$AO142,$AO142))</f>
        <v/>
      </c>
      <c r="AQ142" s="78" t="str">
        <f>IF(OR($R142&lt;&gt;"OK",$AP142=""),"",INDEX('Buy list'!$G$5:$G$204,$AP142))</f>
        <v/>
      </c>
      <c r="AR142" s="78" t="str">
        <f>IF($R142&lt;&gt;"OK","",IF($AB142=0,0,MIN($AB142,CEILING(MAX(0,($F142*MAX(0,MIN((Setup!$C$6+1+Setup!$C$20),(Setup!$C$5-Setup!$C$7))-Setup!$C$4)+$F142*Setup!$C$8*MAX(0,MIN((Setup!$C$6+1+Setup!$C$20),Setup!$C$5)-MAX((Setup!$C$5-Setup!$C$7),Setup!$C$4))+$W142/4*MAX(0,MIN((Setup!$C$6+1+Setup!$C$20),Setup!$C$5+4)-MAX(Setup!$C$5,Setup!$C$4))+$F142*Setup!$C$14*MAX(0,(Setup!$C$6+1+Setup!$C$20)-MAX(Setup!$C$5+4,Setup!$C$4)))+$Y142-$K142-IF(AND($L142&lt;&gt;"",$L142&gt;0),IF($M142&lt;=Setup!$C$10,$L142,0),0)),IF(OR($P142="",$P142&lt;=0),1,$P142)))))</f>
        <v/>
      </c>
      <c r="AS142" s="96" t="str">
        <f>IF($R142&lt;&gt;"OK","",IF(AND($O142&lt;&gt;"Domestic",ISNUMBER(Setup!$C$22),Setup!$C$22&gt;Setup!$C$4),Setup!$C$22,Setup!$C$4))</f>
        <v/>
      </c>
      <c r="AT142" s="96" t="str">
        <f>IF($R142&lt;&gt;"OK","",IF($AB142=0,"",IF($O142="Domestic",$AG142,$AS142+$N142+Setup!$C$27+Setup!$C$11)))</f>
        <v/>
      </c>
    </row>
    <row r="143" ht="15" customHeight="1" s="46">
      <c r="A143" s="70" t="n"/>
      <c r="B143" s="70" t="n"/>
      <c r="C143" s="70" t="n"/>
      <c r="D143" s="85" t="n"/>
      <c r="E143" s="85" t="n"/>
      <c r="F143" s="86" t="n"/>
      <c r="G143" s="87" t="n"/>
      <c r="H143" s="88" t="n"/>
      <c r="I143" s="89" t="n"/>
      <c r="J143" s="90" t="n"/>
      <c r="K143" s="87" t="n"/>
      <c r="L143" s="87" t="n"/>
      <c r="M143" s="91" t="n"/>
      <c r="N143" s="92" t="n"/>
      <c r="O143" s="70" t="n"/>
      <c r="P143" s="92" t="n"/>
      <c r="Q143" s="87" t="n"/>
      <c r="R143" s="79" t="str">
        <f>IF($A143="","",IF($C143="","Missing: type",IF(OR($D143="",$D143&lt;=0),"Missing: unit cost",IF($E143="","Missing: unit price",IF($F143="","Missing: daily sales",IF($K143="","Missing: on hand",IF($N143="","Missing: production days",IF($O143="","Missing: freight mode",IF(ISNA(MATCH($O143,Setup!$B$25:$B$29,0)),"Unknown freight mode",IF(AND($L143&lt;&gt;"",$L143&gt;0,$M143=""),"Missing: on-order arrival date","OK"))))))))))</f>
        <v/>
      </c>
      <c r="S143" s="78" t="str">
        <f>IF($R143&lt;&gt;"OK","",IF($G143="","",ROUND($G143/IF(OR($H143="",$H143&lt;=0),4,$H143)*4,0)))</f>
        <v/>
      </c>
      <c r="T143" s="78" t="str">
        <f>IF($R143&lt;&gt;"OK","",ROUND(IF($G143="",$F143*4*Setup!$C$19,$G143/IF(OR($H143="",$H143&lt;=0),4,$H143)*4*(1+IF($I143="",Setup!$C$16,$I143)))*IF($J143="",1,$J143),0))</f>
        <v/>
      </c>
      <c r="U143" s="78" t="str">
        <f>IF($R143&lt;&gt;"OK","",ROUND($T143*Setup!$C$17,0))</f>
        <v/>
      </c>
      <c r="V143" s="78" t="str">
        <f>IF($R143&lt;&gt;"OK","",ROUND($T143*Setup!$C$18,0))</f>
        <v/>
      </c>
      <c r="W143" s="78" t="str">
        <f>IF($R143&lt;&gt;"OK","",IF($C143="Evergreen",$V143,IF($C143="Seasonal or new",$U143,$T143)))</f>
        <v/>
      </c>
      <c r="X143" s="78" t="str">
        <f>IF($R143&lt;&gt;"OK","",ROUND(($F143*MAX(0,MIN(Setup!$C$13+1,(Setup!$C$5-Setup!$C$7))-Setup!$C$4)+$F143*Setup!$C$8*MAX(0,MIN(Setup!$C$13+1,Setup!$C$5)-MAX((Setup!$C$5-Setup!$C$7),Setup!$C$4))+$W143/4*MAX(0,MIN(Setup!$C$13+1,Setup!$C$5+4)-MAX(Setup!$C$5,Setup!$C$4))+$F143*Setup!$C$14*MAX(0,Setup!$C$13+1-MAX(Setup!$C$5+4,Setup!$C$4))),0))</f>
        <v/>
      </c>
      <c r="Y143" s="78" t="str">
        <f>IF($R143&lt;&gt;"OK","",ROUND($F143*Setup!$C$15,0))</f>
        <v/>
      </c>
      <c r="Z143" s="78" t="str">
        <f>IF($R143&lt;&gt;"OK","",IF(AND($L143&lt;&gt;"",$L143&gt;0),IF($M143&lt;=Setup!$C$13,$L143,0),0))</f>
        <v/>
      </c>
      <c r="AA143" s="78" t="str">
        <f>IF($R143&lt;&gt;"OK","",MAX(0,$X143+$Y143-$K143-$Z143))</f>
        <v/>
      </c>
      <c r="AB143" s="78" t="str">
        <f>IF($R143&lt;&gt;"OK","",IF($AA143=0,0,CEILING(MAX($AA143,IF($Q143="",0,$Q143)),IF(OR($P143="",$P143&lt;=0),1,$P143))))</f>
        <v/>
      </c>
      <c r="AC143" s="78" t="str">
        <f>IF($R143&lt;&gt;"OK","",$AB143*$D143)</f>
        <v/>
      </c>
      <c r="AD143" s="93" t="str">
        <f>IF($R143&lt;&gt;"OK","",INDEX(Setup!$D$25:$D$29,MATCH($O143,Setup!$B$25:$B$29,0)))</f>
        <v/>
      </c>
      <c r="AE143" s="93" t="str">
        <f>IF($R143&lt;&gt;"OK","",$AD143-$N143)</f>
        <v/>
      </c>
      <c r="AF143" s="79" t="str">
        <f>IF($R143&lt;&gt;"OK","",IF($AB143=0,"No order needed",IF($AE143&gt;=$AS143,"Order by the deadline",IF(AND($O143&lt;&gt;"Domestic",Setup!$D$27-$N143&gt;=$AS143),"Late by this mode: fly it",IF(Setup!$D$28-$N143&gt;=$AS143,"Late: Express courier only",IF($AG143&lt;Setup!$C$5,"Tight: lands before Black Friday",IF(AND($O143&lt;&gt;"Domestic",$AT143&lt;Setup!$C$5),"Tight: by Air lands before Black Friday",IF($AS143+$N143+Setup!$C$28+Setup!$C$11&lt;Setup!$C$5,"Tight: by Express lands before Black Friday","Too late: ration"))))))))</f>
        <v/>
      </c>
      <c r="AG143" s="93" t="str">
        <f>IF($R143&lt;&gt;"OK","",IF($AB143=0,"",$AS143+$N143+INDEX(Setup!$C$25:$C$29,MATCH($O143,Setup!$B$25:$B$29,0))+Setup!$C$11))</f>
        <v/>
      </c>
      <c r="AH143" s="93" t="str">
        <f>IF($R143&lt;&gt;"OK","",IF($F143&lt;=0,"",INT(IF($K143&lt;($F143*MAX(0,(Setup!$C$5-Setup!$C$7)-Setup!$C$4)),Setup!$C$4+$K143/$F143,IF($K143&lt;($F143*MAX(0,(Setup!$C$5-Setup!$C$7)-Setup!$C$4))+($F143*Setup!$C$8*MAX(0,Setup!$C$5-MAX((Setup!$C$5-Setup!$C$7),Setup!$C$4))),MAX((Setup!$C$5-Setup!$C$7),Setup!$C$4)+($K143-($F143*MAX(0,(Setup!$C$5-Setup!$C$7)-Setup!$C$4)))/($F143*Setup!$C$8),IF(AND($W143&gt;0,$K143&lt;($F143*MAX(0,(Setup!$C$5-Setup!$C$7)-Setup!$C$4))+($F143*Setup!$C$8*MAX(0,Setup!$C$5-MAX((Setup!$C$5-Setup!$C$7),Setup!$C$4)))+($W143/4*MAX(0,Setup!$C$5+4-MAX(Setup!$C$5,Setup!$C$4)))),MAX(Setup!$C$5,Setup!$C$4)+($K143-($F143*MAX(0,(Setup!$C$5-Setup!$C$7)-Setup!$C$4))-($F143*Setup!$C$8*MAX(0,Setup!$C$5-MAX((Setup!$C$5-Setup!$C$7),Setup!$C$4))))/($W143/4),MAX(Setup!$C$5+4,Setup!$C$4)+($K143-($F143*MAX(0,(Setup!$C$5-Setup!$C$7)-Setup!$C$4))-($F143*Setup!$C$8*MAX(0,Setup!$C$5-MAX((Setup!$C$5-Setup!$C$7),Setup!$C$4)))-($W143/4*MAX(0,Setup!$C$5+4-MAX(Setup!$C$5,Setup!$C$4))))/($F143*Setup!$C$14)))))))</f>
        <v/>
      </c>
      <c r="AI143" s="79" t="str">
        <f>IF($R143&lt;&gt;"OK","",IF(AND($L143&lt;&gt;"",$L143&gt;0,ISNUMBER($AH143),$M143&gt;$AH143),"Runs out before the incoming delivery arrives",IF($AB143=0,"OK",IF($K143+IF(AND($L143&lt;&gt;"",$L143&gt;0),IF($M143&lt;=$AG143,$L143,0),0)&lt;($F143*MAX(0,MIN($AG143,(Setup!$C$5-Setup!$C$7))-Setup!$C$4)+$F143*Setup!$C$8*MAX(0,MIN($AG143,Setup!$C$5)-MAX((Setup!$C$5-Setup!$C$7),Setup!$C$4))+$W143/4*MAX(0,MIN($AG143,Setup!$C$5+4)-MAX(Setup!$C$5,Setup!$C$4))+$F143*Setup!$C$14*MAX(0,$AG143-MAX(Setup!$C$5+4,Setup!$C$4))),"Runs out before this order can land","OK"))))</f>
        <v/>
      </c>
      <c r="AJ143" s="78" t="str">
        <f>IF($R143&lt;&gt;"OK","",IF($AB143=0,0,IF($AL143="Too slow: send it all fast",$AB143,$AR143)))</f>
        <v/>
      </c>
      <c r="AK143" s="78" t="str">
        <f>IF($R143&lt;&gt;"OK","",$AB143-$AJ143)</f>
        <v/>
      </c>
      <c r="AL143" s="78" t="str">
        <f>IF($R143&lt;&gt;"OK","",IF($AB143=0,"",IF($AB143-$AR143=0,"Nothing left over",IF($O143="Domestic",IF($AG143&lt;=Setup!$C$6+Setup!$C$20+1,"Later units can go by Domestic","Too slow: send it all fast"),IF($AS143+$N143+Setup!$C$25+Setup!$C$11&lt;=Setup!$C$6+Setup!$C$20+1,"Later units can go by Ocean long",IF($AS143+$N143+Setup!$C$26+Setup!$C$11&lt;=Setup!$C$6+Setup!$C$20+1,"Later units can go by Ocean short",IF($AS143+$N143+Setup!$C$27+Setup!$C$11&lt;=Setup!$C$6+Setup!$C$20+1,"Later units can go by Air",IF($AS143+$N143+Setup!$C$28+Setup!$C$11&lt;=Setup!$C$6+Setup!$C$20+1,"Later units can go by Express","Too slow: send it all fast"))))))))</f>
        <v/>
      </c>
      <c r="AM143" s="94" t="str">
        <f>IF($R143&lt;&gt;"OK","",$E143-$D143)</f>
        <v/>
      </c>
      <c r="AN143" s="95" t="str">
        <f>IF($R143&lt;&gt;"OK","",($E143-$D143)/$D143)</f>
        <v/>
      </c>
      <c r="AO143" s="95" t="str">
        <f>IF($R143&lt;&gt;"OK","",IF($AB143&gt;0,$AN143+IF($C143="Evergreen",1000,0),""))</f>
        <v/>
      </c>
      <c r="AP143" s="78" t="str">
        <f>IF(OR($R143&lt;&gt;"OK",$AO143=""),"",COUNTIF($AO$6:$AO$205,"&gt;"&amp;$AO143)+COUNTIF($AO$6:$AO143,$AO143))</f>
        <v/>
      </c>
      <c r="AQ143" s="78" t="str">
        <f>IF(OR($R143&lt;&gt;"OK",$AP143=""),"",INDEX('Buy list'!$G$5:$G$204,$AP143))</f>
        <v/>
      </c>
      <c r="AR143" s="78" t="str">
        <f>IF($R143&lt;&gt;"OK","",IF($AB143=0,0,MIN($AB143,CEILING(MAX(0,($F143*MAX(0,MIN((Setup!$C$6+1+Setup!$C$20),(Setup!$C$5-Setup!$C$7))-Setup!$C$4)+$F143*Setup!$C$8*MAX(0,MIN((Setup!$C$6+1+Setup!$C$20),Setup!$C$5)-MAX((Setup!$C$5-Setup!$C$7),Setup!$C$4))+$W143/4*MAX(0,MIN((Setup!$C$6+1+Setup!$C$20),Setup!$C$5+4)-MAX(Setup!$C$5,Setup!$C$4))+$F143*Setup!$C$14*MAX(0,(Setup!$C$6+1+Setup!$C$20)-MAX(Setup!$C$5+4,Setup!$C$4)))+$Y143-$K143-IF(AND($L143&lt;&gt;"",$L143&gt;0),IF($M143&lt;=Setup!$C$10,$L143,0),0)),IF(OR($P143="",$P143&lt;=0),1,$P143)))))</f>
        <v/>
      </c>
      <c r="AS143" s="96" t="str">
        <f>IF($R143&lt;&gt;"OK","",IF(AND($O143&lt;&gt;"Domestic",ISNUMBER(Setup!$C$22),Setup!$C$22&gt;Setup!$C$4),Setup!$C$22,Setup!$C$4))</f>
        <v/>
      </c>
      <c r="AT143" s="96" t="str">
        <f>IF($R143&lt;&gt;"OK","",IF($AB143=0,"",IF($O143="Domestic",$AG143,$AS143+$N143+Setup!$C$27+Setup!$C$11)))</f>
        <v/>
      </c>
    </row>
    <row r="144" ht="15" customHeight="1" s="46">
      <c r="A144" s="70" t="n"/>
      <c r="B144" s="70" t="n"/>
      <c r="C144" s="70" t="n"/>
      <c r="D144" s="85" t="n"/>
      <c r="E144" s="85" t="n"/>
      <c r="F144" s="86" t="n"/>
      <c r="G144" s="87" t="n"/>
      <c r="H144" s="88" t="n"/>
      <c r="I144" s="89" t="n"/>
      <c r="J144" s="90" t="n"/>
      <c r="K144" s="87" t="n"/>
      <c r="L144" s="87" t="n"/>
      <c r="M144" s="91" t="n"/>
      <c r="N144" s="92" t="n"/>
      <c r="O144" s="70" t="n"/>
      <c r="P144" s="92" t="n"/>
      <c r="Q144" s="87" t="n"/>
      <c r="R144" s="79" t="str">
        <f>IF($A144="","",IF($C144="","Missing: type",IF(OR($D144="",$D144&lt;=0),"Missing: unit cost",IF($E144="","Missing: unit price",IF($F144="","Missing: daily sales",IF($K144="","Missing: on hand",IF($N144="","Missing: production days",IF($O144="","Missing: freight mode",IF(ISNA(MATCH($O144,Setup!$B$25:$B$29,0)),"Unknown freight mode",IF(AND($L144&lt;&gt;"",$L144&gt;0,$M144=""),"Missing: on-order arrival date","OK"))))))))))</f>
        <v/>
      </c>
      <c r="S144" s="78" t="str">
        <f>IF($R144&lt;&gt;"OK","",IF($G144="","",ROUND($G144/IF(OR($H144="",$H144&lt;=0),4,$H144)*4,0)))</f>
        <v/>
      </c>
      <c r="T144" s="78" t="str">
        <f>IF($R144&lt;&gt;"OK","",ROUND(IF($G144="",$F144*4*Setup!$C$19,$G144/IF(OR($H144="",$H144&lt;=0),4,$H144)*4*(1+IF($I144="",Setup!$C$16,$I144)))*IF($J144="",1,$J144),0))</f>
        <v/>
      </c>
      <c r="U144" s="78" t="str">
        <f>IF($R144&lt;&gt;"OK","",ROUND($T144*Setup!$C$17,0))</f>
        <v/>
      </c>
      <c r="V144" s="78" t="str">
        <f>IF($R144&lt;&gt;"OK","",ROUND($T144*Setup!$C$18,0))</f>
        <v/>
      </c>
      <c r="W144" s="78" t="str">
        <f>IF($R144&lt;&gt;"OK","",IF($C144="Evergreen",$V144,IF($C144="Seasonal or new",$U144,$T144)))</f>
        <v/>
      </c>
      <c r="X144" s="78" t="str">
        <f>IF($R144&lt;&gt;"OK","",ROUND(($F144*MAX(0,MIN(Setup!$C$13+1,(Setup!$C$5-Setup!$C$7))-Setup!$C$4)+$F144*Setup!$C$8*MAX(0,MIN(Setup!$C$13+1,Setup!$C$5)-MAX((Setup!$C$5-Setup!$C$7),Setup!$C$4))+$W144/4*MAX(0,MIN(Setup!$C$13+1,Setup!$C$5+4)-MAX(Setup!$C$5,Setup!$C$4))+$F144*Setup!$C$14*MAX(0,Setup!$C$13+1-MAX(Setup!$C$5+4,Setup!$C$4))),0))</f>
        <v/>
      </c>
      <c r="Y144" s="78" t="str">
        <f>IF($R144&lt;&gt;"OK","",ROUND($F144*Setup!$C$15,0))</f>
        <v/>
      </c>
      <c r="Z144" s="78" t="str">
        <f>IF($R144&lt;&gt;"OK","",IF(AND($L144&lt;&gt;"",$L144&gt;0),IF($M144&lt;=Setup!$C$13,$L144,0),0))</f>
        <v/>
      </c>
      <c r="AA144" s="78" t="str">
        <f>IF($R144&lt;&gt;"OK","",MAX(0,$X144+$Y144-$K144-$Z144))</f>
        <v/>
      </c>
      <c r="AB144" s="78" t="str">
        <f>IF($R144&lt;&gt;"OK","",IF($AA144=0,0,CEILING(MAX($AA144,IF($Q144="",0,$Q144)),IF(OR($P144="",$P144&lt;=0),1,$P144))))</f>
        <v/>
      </c>
      <c r="AC144" s="78" t="str">
        <f>IF($R144&lt;&gt;"OK","",$AB144*$D144)</f>
        <v/>
      </c>
      <c r="AD144" s="93" t="str">
        <f>IF($R144&lt;&gt;"OK","",INDEX(Setup!$D$25:$D$29,MATCH($O144,Setup!$B$25:$B$29,0)))</f>
        <v/>
      </c>
      <c r="AE144" s="93" t="str">
        <f>IF($R144&lt;&gt;"OK","",$AD144-$N144)</f>
        <v/>
      </c>
      <c r="AF144" s="79" t="str">
        <f>IF($R144&lt;&gt;"OK","",IF($AB144=0,"No order needed",IF($AE144&gt;=$AS144,"Order by the deadline",IF(AND($O144&lt;&gt;"Domestic",Setup!$D$27-$N144&gt;=$AS144),"Late by this mode: fly it",IF(Setup!$D$28-$N144&gt;=$AS144,"Late: Express courier only",IF($AG144&lt;Setup!$C$5,"Tight: lands before Black Friday",IF(AND($O144&lt;&gt;"Domestic",$AT144&lt;Setup!$C$5),"Tight: by Air lands before Black Friday",IF($AS144+$N144+Setup!$C$28+Setup!$C$11&lt;Setup!$C$5,"Tight: by Express lands before Black Friday","Too late: ration"))))))))</f>
        <v/>
      </c>
      <c r="AG144" s="93" t="str">
        <f>IF($R144&lt;&gt;"OK","",IF($AB144=0,"",$AS144+$N144+INDEX(Setup!$C$25:$C$29,MATCH($O144,Setup!$B$25:$B$29,0))+Setup!$C$11))</f>
        <v/>
      </c>
      <c r="AH144" s="93" t="str">
        <f>IF($R144&lt;&gt;"OK","",IF($F144&lt;=0,"",INT(IF($K144&lt;($F144*MAX(0,(Setup!$C$5-Setup!$C$7)-Setup!$C$4)),Setup!$C$4+$K144/$F144,IF($K144&lt;($F144*MAX(0,(Setup!$C$5-Setup!$C$7)-Setup!$C$4))+($F144*Setup!$C$8*MAX(0,Setup!$C$5-MAX((Setup!$C$5-Setup!$C$7),Setup!$C$4))),MAX((Setup!$C$5-Setup!$C$7),Setup!$C$4)+($K144-($F144*MAX(0,(Setup!$C$5-Setup!$C$7)-Setup!$C$4)))/($F144*Setup!$C$8),IF(AND($W144&gt;0,$K144&lt;($F144*MAX(0,(Setup!$C$5-Setup!$C$7)-Setup!$C$4))+($F144*Setup!$C$8*MAX(0,Setup!$C$5-MAX((Setup!$C$5-Setup!$C$7),Setup!$C$4)))+($W144/4*MAX(0,Setup!$C$5+4-MAX(Setup!$C$5,Setup!$C$4)))),MAX(Setup!$C$5,Setup!$C$4)+($K144-($F144*MAX(0,(Setup!$C$5-Setup!$C$7)-Setup!$C$4))-($F144*Setup!$C$8*MAX(0,Setup!$C$5-MAX((Setup!$C$5-Setup!$C$7),Setup!$C$4))))/($W144/4),MAX(Setup!$C$5+4,Setup!$C$4)+($K144-($F144*MAX(0,(Setup!$C$5-Setup!$C$7)-Setup!$C$4))-($F144*Setup!$C$8*MAX(0,Setup!$C$5-MAX((Setup!$C$5-Setup!$C$7),Setup!$C$4)))-($W144/4*MAX(0,Setup!$C$5+4-MAX(Setup!$C$5,Setup!$C$4))))/($F144*Setup!$C$14)))))))</f>
        <v/>
      </c>
      <c r="AI144" s="79" t="str">
        <f>IF($R144&lt;&gt;"OK","",IF(AND($L144&lt;&gt;"",$L144&gt;0,ISNUMBER($AH144),$M144&gt;$AH144),"Runs out before the incoming delivery arrives",IF($AB144=0,"OK",IF($K144+IF(AND($L144&lt;&gt;"",$L144&gt;0),IF($M144&lt;=$AG144,$L144,0),0)&lt;($F144*MAX(0,MIN($AG144,(Setup!$C$5-Setup!$C$7))-Setup!$C$4)+$F144*Setup!$C$8*MAX(0,MIN($AG144,Setup!$C$5)-MAX((Setup!$C$5-Setup!$C$7),Setup!$C$4))+$W144/4*MAX(0,MIN($AG144,Setup!$C$5+4)-MAX(Setup!$C$5,Setup!$C$4))+$F144*Setup!$C$14*MAX(0,$AG144-MAX(Setup!$C$5+4,Setup!$C$4))),"Runs out before this order can land","OK"))))</f>
        <v/>
      </c>
      <c r="AJ144" s="78" t="str">
        <f>IF($R144&lt;&gt;"OK","",IF($AB144=0,0,IF($AL144="Too slow: send it all fast",$AB144,$AR144)))</f>
        <v/>
      </c>
      <c r="AK144" s="78" t="str">
        <f>IF($R144&lt;&gt;"OK","",$AB144-$AJ144)</f>
        <v/>
      </c>
      <c r="AL144" s="78" t="str">
        <f>IF($R144&lt;&gt;"OK","",IF($AB144=0,"",IF($AB144-$AR144=0,"Nothing left over",IF($O144="Domestic",IF($AG144&lt;=Setup!$C$6+Setup!$C$20+1,"Later units can go by Domestic","Too slow: send it all fast"),IF($AS144+$N144+Setup!$C$25+Setup!$C$11&lt;=Setup!$C$6+Setup!$C$20+1,"Later units can go by Ocean long",IF($AS144+$N144+Setup!$C$26+Setup!$C$11&lt;=Setup!$C$6+Setup!$C$20+1,"Later units can go by Ocean short",IF($AS144+$N144+Setup!$C$27+Setup!$C$11&lt;=Setup!$C$6+Setup!$C$20+1,"Later units can go by Air",IF($AS144+$N144+Setup!$C$28+Setup!$C$11&lt;=Setup!$C$6+Setup!$C$20+1,"Later units can go by Express","Too slow: send it all fast"))))))))</f>
        <v/>
      </c>
      <c r="AM144" s="94" t="str">
        <f>IF($R144&lt;&gt;"OK","",$E144-$D144)</f>
        <v/>
      </c>
      <c r="AN144" s="95" t="str">
        <f>IF($R144&lt;&gt;"OK","",($E144-$D144)/$D144)</f>
        <v/>
      </c>
      <c r="AO144" s="95" t="str">
        <f>IF($R144&lt;&gt;"OK","",IF($AB144&gt;0,$AN144+IF($C144="Evergreen",1000,0),""))</f>
        <v/>
      </c>
      <c r="AP144" s="78" t="str">
        <f>IF(OR($R144&lt;&gt;"OK",$AO144=""),"",COUNTIF($AO$6:$AO$205,"&gt;"&amp;$AO144)+COUNTIF($AO$6:$AO144,$AO144))</f>
        <v/>
      </c>
      <c r="AQ144" s="78" t="str">
        <f>IF(OR($R144&lt;&gt;"OK",$AP144=""),"",INDEX('Buy list'!$G$5:$G$204,$AP144))</f>
        <v/>
      </c>
      <c r="AR144" s="78" t="str">
        <f>IF($R144&lt;&gt;"OK","",IF($AB144=0,0,MIN($AB144,CEILING(MAX(0,($F144*MAX(0,MIN((Setup!$C$6+1+Setup!$C$20),(Setup!$C$5-Setup!$C$7))-Setup!$C$4)+$F144*Setup!$C$8*MAX(0,MIN((Setup!$C$6+1+Setup!$C$20),Setup!$C$5)-MAX((Setup!$C$5-Setup!$C$7),Setup!$C$4))+$W144/4*MAX(0,MIN((Setup!$C$6+1+Setup!$C$20),Setup!$C$5+4)-MAX(Setup!$C$5,Setup!$C$4))+$F144*Setup!$C$14*MAX(0,(Setup!$C$6+1+Setup!$C$20)-MAX(Setup!$C$5+4,Setup!$C$4)))+$Y144-$K144-IF(AND($L144&lt;&gt;"",$L144&gt;0),IF($M144&lt;=Setup!$C$10,$L144,0),0)),IF(OR($P144="",$P144&lt;=0),1,$P144)))))</f>
        <v/>
      </c>
      <c r="AS144" s="96" t="str">
        <f>IF($R144&lt;&gt;"OK","",IF(AND($O144&lt;&gt;"Domestic",ISNUMBER(Setup!$C$22),Setup!$C$22&gt;Setup!$C$4),Setup!$C$22,Setup!$C$4))</f>
        <v/>
      </c>
      <c r="AT144" s="96" t="str">
        <f>IF($R144&lt;&gt;"OK","",IF($AB144=0,"",IF($O144="Domestic",$AG144,$AS144+$N144+Setup!$C$27+Setup!$C$11)))</f>
        <v/>
      </c>
    </row>
    <row r="145" ht="15" customHeight="1" s="46">
      <c r="A145" s="70" t="n"/>
      <c r="B145" s="70" t="n"/>
      <c r="C145" s="70" t="n"/>
      <c r="D145" s="85" t="n"/>
      <c r="E145" s="85" t="n"/>
      <c r="F145" s="86" t="n"/>
      <c r="G145" s="87" t="n"/>
      <c r="H145" s="88" t="n"/>
      <c r="I145" s="89" t="n"/>
      <c r="J145" s="90" t="n"/>
      <c r="K145" s="87" t="n"/>
      <c r="L145" s="87" t="n"/>
      <c r="M145" s="91" t="n"/>
      <c r="N145" s="92" t="n"/>
      <c r="O145" s="70" t="n"/>
      <c r="P145" s="92" t="n"/>
      <c r="Q145" s="87" t="n"/>
      <c r="R145" s="79" t="str">
        <f>IF($A145="","",IF($C145="","Missing: type",IF(OR($D145="",$D145&lt;=0),"Missing: unit cost",IF($E145="","Missing: unit price",IF($F145="","Missing: daily sales",IF($K145="","Missing: on hand",IF($N145="","Missing: production days",IF($O145="","Missing: freight mode",IF(ISNA(MATCH($O145,Setup!$B$25:$B$29,0)),"Unknown freight mode",IF(AND($L145&lt;&gt;"",$L145&gt;0,$M145=""),"Missing: on-order arrival date","OK"))))))))))</f>
        <v/>
      </c>
      <c r="S145" s="78" t="str">
        <f>IF($R145&lt;&gt;"OK","",IF($G145="","",ROUND($G145/IF(OR($H145="",$H145&lt;=0),4,$H145)*4,0)))</f>
        <v/>
      </c>
      <c r="T145" s="78" t="str">
        <f>IF($R145&lt;&gt;"OK","",ROUND(IF($G145="",$F145*4*Setup!$C$19,$G145/IF(OR($H145="",$H145&lt;=0),4,$H145)*4*(1+IF($I145="",Setup!$C$16,$I145)))*IF($J145="",1,$J145),0))</f>
        <v/>
      </c>
      <c r="U145" s="78" t="str">
        <f>IF($R145&lt;&gt;"OK","",ROUND($T145*Setup!$C$17,0))</f>
        <v/>
      </c>
      <c r="V145" s="78" t="str">
        <f>IF($R145&lt;&gt;"OK","",ROUND($T145*Setup!$C$18,0))</f>
        <v/>
      </c>
      <c r="W145" s="78" t="str">
        <f>IF($R145&lt;&gt;"OK","",IF($C145="Evergreen",$V145,IF($C145="Seasonal or new",$U145,$T145)))</f>
        <v/>
      </c>
      <c r="X145" s="78" t="str">
        <f>IF($R145&lt;&gt;"OK","",ROUND(($F145*MAX(0,MIN(Setup!$C$13+1,(Setup!$C$5-Setup!$C$7))-Setup!$C$4)+$F145*Setup!$C$8*MAX(0,MIN(Setup!$C$13+1,Setup!$C$5)-MAX((Setup!$C$5-Setup!$C$7),Setup!$C$4))+$W145/4*MAX(0,MIN(Setup!$C$13+1,Setup!$C$5+4)-MAX(Setup!$C$5,Setup!$C$4))+$F145*Setup!$C$14*MAX(0,Setup!$C$13+1-MAX(Setup!$C$5+4,Setup!$C$4))),0))</f>
        <v/>
      </c>
      <c r="Y145" s="78" t="str">
        <f>IF($R145&lt;&gt;"OK","",ROUND($F145*Setup!$C$15,0))</f>
        <v/>
      </c>
      <c r="Z145" s="78" t="str">
        <f>IF($R145&lt;&gt;"OK","",IF(AND($L145&lt;&gt;"",$L145&gt;0),IF($M145&lt;=Setup!$C$13,$L145,0),0))</f>
        <v/>
      </c>
      <c r="AA145" s="78" t="str">
        <f>IF($R145&lt;&gt;"OK","",MAX(0,$X145+$Y145-$K145-$Z145))</f>
        <v/>
      </c>
      <c r="AB145" s="78" t="str">
        <f>IF($R145&lt;&gt;"OK","",IF($AA145=0,0,CEILING(MAX($AA145,IF($Q145="",0,$Q145)),IF(OR($P145="",$P145&lt;=0),1,$P145))))</f>
        <v/>
      </c>
      <c r="AC145" s="78" t="str">
        <f>IF($R145&lt;&gt;"OK","",$AB145*$D145)</f>
        <v/>
      </c>
      <c r="AD145" s="93" t="str">
        <f>IF($R145&lt;&gt;"OK","",INDEX(Setup!$D$25:$D$29,MATCH($O145,Setup!$B$25:$B$29,0)))</f>
        <v/>
      </c>
      <c r="AE145" s="93" t="str">
        <f>IF($R145&lt;&gt;"OK","",$AD145-$N145)</f>
        <v/>
      </c>
      <c r="AF145" s="79" t="str">
        <f>IF($R145&lt;&gt;"OK","",IF($AB145=0,"No order needed",IF($AE145&gt;=$AS145,"Order by the deadline",IF(AND($O145&lt;&gt;"Domestic",Setup!$D$27-$N145&gt;=$AS145),"Late by this mode: fly it",IF(Setup!$D$28-$N145&gt;=$AS145,"Late: Express courier only",IF($AG145&lt;Setup!$C$5,"Tight: lands before Black Friday",IF(AND($O145&lt;&gt;"Domestic",$AT145&lt;Setup!$C$5),"Tight: by Air lands before Black Friday",IF($AS145+$N145+Setup!$C$28+Setup!$C$11&lt;Setup!$C$5,"Tight: by Express lands before Black Friday","Too late: ration"))))))))</f>
        <v/>
      </c>
      <c r="AG145" s="93" t="str">
        <f>IF($R145&lt;&gt;"OK","",IF($AB145=0,"",$AS145+$N145+INDEX(Setup!$C$25:$C$29,MATCH($O145,Setup!$B$25:$B$29,0))+Setup!$C$11))</f>
        <v/>
      </c>
      <c r="AH145" s="93" t="str">
        <f>IF($R145&lt;&gt;"OK","",IF($F145&lt;=0,"",INT(IF($K145&lt;($F145*MAX(0,(Setup!$C$5-Setup!$C$7)-Setup!$C$4)),Setup!$C$4+$K145/$F145,IF($K145&lt;($F145*MAX(0,(Setup!$C$5-Setup!$C$7)-Setup!$C$4))+($F145*Setup!$C$8*MAX(0,Setup!$C$5-MAX((Setup!$C$5-Setup!$C$7),Setup!$C$4))),MAX((Setup!$C$5-Setup!$C$7),Setup!$C$4)+($K145-($F145*MAX(0,(Setup!$C$5-Setup!$C$7)-Setup!$C$4)))/($F145*Setup!$C$8),IF(AND($W145&gt;0,$K145&lt;($F145*MAX(0,(Setup!$C$5-Setup!$C$7)-Setup!$C$4))+($F145*Setup!$C$8*MAX(0,Setup!$C$5-MAX((Setup!$C$5-Setup!$C$7),Setup!$C$4)))+($W145/4*MAX(0,Setup!$C$5+4-MAX(Setup!$C$5,Setup!$C$4)))),MAX(Setup!$C$5,Setup!$C$4)+($K145-($F145*MAX(0,(Setup!$C$5-Setup!$C$7)-Setup!$C$4))-($F145*Setup!$C$8*MAX(0,Setup!$C$5-MAX((Setup!$C$5-Setup!$C$7),Setup!$C$4))))/($W145/4),MAX(Setup!$C$5+4,Setup!$C$4)+($K145-($F145*MAX(0,(Setup!$C$5-Setup!$C$7)-Setup!$C$4))-($F145*Setup!$C$8*MAX(0,Setup!$C$5-MAX((Setup!$C$5-Setup!$C$7),Setup!$C$4)))-($W145/4*MAX(0,Setup!$C$5+4-MAX(Setup!$C$5,Setup!$C$4))))/($F145*Setup!$C$14)))))))</f>
        <v/>
      </c>
      <c r="AI145" s="79" t="str">
        <f>IF($R145&lt;&gt;"OK","",IF(AND($L145&lt;&gt;"",$L145&gt;0,ISNUMBER($AH145),$M145&gt;$AH145),"Runs out before the incoming delivery arrives",IF($AB145=0,"OK",IF($K145+IF(AND($L145&lt;&gt;"",$L145&gt;0),IF($M145&lt;=$AG145,$L145,0),0)&lt;($F145*MAX(0,MIN($AG145,(Setup!$C$5-Setup!$C$7))-Setup!$C$4)+$F145*Setup!$C$8*MAX(0,MIN($AG145,Setup!$C$5)-MAX((Setup!$C$5-Setup!$C$7),Setup!$C$4))+$W145/4*MAX(0,MIN($AG145,Setup!$C$5+4)-MAX(Setup!$C$5,Setup!$C$4))+$F145*Setup!$C$14*MAX(0,$AG145-MAX(Setup!$C$5+4,Setup!$C$4))),"Runs out before this order can land","OK"))))</f>
        <v/>
      </c>
      <c r="AJ145" s="78" t="str">
        <f>IF($R145&lt;&gt;"OK","",IF($AB145=0,0,IF($AL145="Too slow: send it all fast",$AB145,$AR145)))</f>
        <v/>
      </c>
      <c r="AK145" s="78" t="str">
        <f>IF($R145&lt;&gt;"OK","",$AB145-$AJ145)</f>
        <v/>
      </c>
      <c r="AL145" s="78" t="str">
        <f>IF($R145&lt;&gt;"OK","",IF($AB145=0,"",IF($AB145-$AR145=0,"Nothing left over",IF($O145="Domestic",IF($AG145&lt;=Setup!$C$6+Setup!$C$20+1,"Later units can go by Domestic","Too slow: send it all fast"),IF($AS145+$N145+Setup!$C$25+Setup!$C$11&lt;=Setup!$C$6+Setup!$C$20+1,"Later units can go by Ocean long",IF($AS145+$N145+Setup!$C$26+Setup!$C$11&lt;=Setup!$C$6+Setup!$C$20+1,"Later units can go by Ocean short",IF($AS145+$N145+Setup!$C$27+Setup!$C$11&lt;=Setup!$C$6+Setup!$C$20+1,"Later units can go by Air",IF($AS145+$N145+Setup!$C$28+Setup!$C$11&lt;=Setup!$C$6+Setup!$C$20+1,"Later units can go by Express","Too slow: send it all fast"))))))))</f>
        <v/>
      </c>
      <c r="AM145" s="94" t="str">
        <f>IF($R145&lt;&gt;"OK","",$E145-$D145)</f>
        <v/>
      </c>
      <c r="AN145" s="95" t="str">
        <f>IF($R145&lt;&gt;"OK","",($E145-$D145)/$D145)</f>
        <v/>
      </c>
      <c r="AO145" s="95" t="str">
        <f>IF($R145&lt;&gt;"OK","",IF($AB145&gt;0,$AN145+IF($C145="Evergreen",1000,0),""))</f>
        <v/>
      </c>
      <c r="AP145" s="78" t="str">
        <f>IF(OR($R145&lt;&gt;"OK",$AO145=""),"",COUNTIF($AO$6:$AO$205,"&gt;"&amp;$AO145)+COUNTIF($AO$6:$AO145,$AO145))</f>
        <v/>
      </c>
      <c r="AQ145" s="78" t="str">
        <f>IF(OR($R145&lt;&gt;"OK",$AP145=""),"",INDEX('Buy list'!$G$5:$G$204,$AP145))</f>
        <v/>
      </c>
      <c r="AR145" s="78" t="str">
        <f>IF($R145&lt;&gt;"OK","",IF($AB145=0,0,MIN($AB145,CEILING(MAX(0,($F145*MAX(0,MIN((Setup!$C$6+1+Setup!$C$20),(Setup!$C$5-Setup!$C$7))-Setup!$C$4)+$F145*Setup!$C$8*MAX(0,MIN((Setup!$C$6+1+Setup!$C$20),Setup!$C$5)-MAX((Setup!$C$5-Setup!$C$7),Setup!$C$4))+$W145/4*MAX(0,MIN((Setup!$C$6+1+Setup!$C$20),Setup!$C$5+4)-MAX(Setup!$C$5,Setup!$C$4))+$F145*Setup!$C$14*MAX(0,(Setup!$C$6+1+Setup!$C$20)-MAX(Setup!$C$5+4,Setup!$C$4)))+$Y145-$K145-IF(AND($L145&lt;&gt;"",$L145&gt;0),IF($M145&lt;=Setup!$C$10,$L145,0),0)),IF(OR($P145="",$P145&lt;=0),1,$P145)))))</f>
        <v/>
      </c>
      <c r="AS145" s="96" t="str">
        <f>IF($R145&lt;&gt;"OK","",IF(AND($O145&lt;&gt;"Domestic",ISNUMBER(Setup!$C$22),Setup!$C$22&gt;Setup!$C$4),Setup!$C$22,Setup!$C$4))</f>
        <v/>
      </c>
      <c r="AT145" s="96" t="str">
        <f>IF($R145&lt;&gt;"OK","",IF($AB145=0,"",IF($O145="Domestic",$AG145,$AS145+$N145+Setup!$C$27+Setup!$C$11)))</f>
        <v/>
      </c>
    </row>
    <row r="146" ht="15" customHeight="1" s="46">
      <c r="A146" s="70" t="n"/>
      <c r="B146" s="70" t="n"/>
      <c r="C146" s="70" t="n"/>
      <c r="D146" s="85" t="n"/>
      <c r="E146" s="85" t="n"/>
      <c r="F146" s="86" t="n"/>
      <c r="G146" s="87" t="n"/>
      <c r="H146" s="88" t="n"/>
      <c r="I146" s="89" t="n"/>
      <c r="J146" s="90" t="n"/>
      <c r="K146" s="87" t="n"/>
      <c r="L146" s="87" t="n"/>
      <c r="M146" s="91" t="n"/>
      <c r="N146" s="92" t="n"/>
      <c r="O146" s="70" t="n"/>
      <c r="P146" s="92" t="n"/>
      <c r="Q146" s="87" t="n"/>
      <c r="R146" s="79" t="str">
        <f>IF($A146="","",IF($C146="","Missing: type",IF(OR($D146="",$D146&lt;=0),"Missing: unit cost",IF($E146="","Missing: unit price",IF($F146="","Missing: daily sales",IF($K146="","Missing: on hand",IF($N146="","Missing: production days",IF($O146="","Missing: freight mode",IF(ISNA(MATCH($O146,Setup!$B$25:$B$29,0)),"Unknown freight mode",IF(AND($L146&lt;&gt;"",$L146&gt;0,$M146=""),"Missing: on-order arrival date","OK"))))))))))</f>
        <v/>
      </c>
      <c r="S146" s="78" t="str">
        <f>IF($R146&lt;&gt;"OK","",IF($G146="","",ROUND($G146/IF(OR($H146="",$H146&lt;=0),4,$H146)*4,0)))</f>
        <v/>
      </c>
      <c r="T146" s="78" t="str">
        <f>IF($R146&lt;&gt;"OK","",ROUND(IF($G146="",$F146*4*Setup!$C$19,$G146/IF(OR($H146="",$H146&lt;=0),4,$H146)*4*(1+IF($I146="",Setup!$C$16,$I146)))*IF($J146="",1,$J146),0))</f>
        <v/>
      </c>
      <c r="U146" s="78" t="str">
        <f>IF($R146&lt;&gt;"OK","",ROUND($T146*Setup!$C$17,0))</f>
        <v/>
      </c>
      <c r="V146" s="78" t="str">
        <f>IF($R146&lt;&gt;"OK","",ROUND($T146*Setup!$C$18,0))</f>
        <v/>
      </c>
      <c r="W146" s="78" t="str">
        <f>IF($R146&lt;&gt;"OK","",IF($C146="Evergreen",$V146,IF($C146="Seasonal or new",$U146,$T146)))</f>
        <v/>
      </c>
      <c r="X146" s="78" t="str">
        <f>IF($R146&lt;&gt;"OK","",ROUND(($F146*MAX(0,MIN(Setup!$C$13+1,(Setup!$C$5-Setup!$C$7))-Setup!$C$4)+$F146*Setup!$C$8*MAX(0,MIN(Setup!$C$13+1,Setup!$C$5)-MAX((Setup!$C$5-Setup!$C$7),Setup!$C$4))+$W146/4*MAX(0,MIN(Setup!$C$13+1,Setup!$C$5+4)-MAX(Setup!$C$5,Setup!$C$4))+$F146*Setup!$C$14*MAX(0,Setup!$C$13+1-MAX(Setup!$C$5+4,Setup!$C$4))),0))</f>
        <v/>
      </c>
      <c r="Y146" s="78" t="str">
        <f>IF($R146&lt;&gt;"OK","",ROUND($F146*Setup!$C$15,0))</f>
        <v/>
      </c>
      <c r="Z146" s="78" t="str">
        <f>IF($R146&lt;&gt;"OK","",IF(AND($L146&lt;&gt;"",$L146&gt;0),IF($M146&lt;=Setup!$C$13,$L146,0),0))</f>
        <v/>
      </c>
      <c r="AA146" s="78" t="str">
        <f>IF($R146&lt;&gt;"OK","",MAX(0,$X146+$Y146-$K146-$Z146))</f>
        <v/>
      </c>
      <c r="AB146" s="78" t="str">
        <f>IF($R146&lt;&gt;"OK","",IF($AA146=0,0,CEILING(MAX($AA146,IF($Q146="",0,$Q146)),IF(OR($P146="",$P146&lt;=0),1,$P146))))</f>
        <v/>
      </c>
      <c r="AC146" s="78" t="str">
        <f>IF($R146&lt;&gt;"OK","",$AB146*$D146)</f>
        <v/>
      </c>
      <c r="AD146" s="93" t="str">
        <f>IF($R146&lt;&gt;"OK","",INDEX(Setup!$D$25:$D$29,MATCH($O146,Setup!$B$25:$B$29,0)))</f>
        <v/>
      </c>
      <c r="AE146" s="93" t="str">
        <f>IF($R146&lt;&gt;"OK","",$AD146-$N146)</f>
        <v/>
      </c>
      <c r="AF146" s="79" t="str">
        <f>IF($R146&lt;&gt;"OK","",IF($AB146=0,"No order needed",IF($AE146&gt;=$AS146,"Order by the deadline",IF(AND($O146&lt;&gt;"Domestic",Setup!$D$27-$N146&gt;=$AS146),"Late by this mode: fly it",IF(Setup!$D$28-$N146&gt;=$AS146,"Late: Express courier only",IF($AG146&lt;Setup!$C$5,"Tight: lands before Black Friday",IF(AND($O146&lt;&gt;"Domestic",$AT146&lt;Setup!$C$5),"Tight: by Air lands before Black Friday",IF($AS146+$N146+Setup!$C$28+Setup!$C$11&lt;Setup!$C$5,"Tight: by Express lands before Black Friday","Too late: ration"))))))))</f>
        <v/>
      </c>
      <c r="AG146" s="93" t="str">
        <f>IF($R146&lt;&gt;"OK","",IF($AB146=0,"",$AS146+$N146+INDEX(Setup!$C$25:$C$29,MATCH($O146,Setup!$B$25:$B$29,0))+Setup!$C$11))</f>
        <v/>
      </c>
      <c r="AH146" s="93" t="str">
        <f>IF($R146&lt;&gt;"OK","",IF($F146&lt;=0,"",INT(IF($K146&lt;($F146*MAX(0,(Setup!$C$5-Setup!$C$7)-Setup!$C$4)),Setup!$C$4+$K146/$F146,IF($K146&lt;($F146*MAX(0,(Setup!$C$5-Setup!$C$7)-Setup!$C$4))+($F146*Setup!$C$8*MAX(0,Setup!$C$5-MAX((Setup!$C$5-Setup!$C$7),Setup!$C$4))),MAX((Setup!$C$5-Setup!$C$7),Setup!$C$4)+($K146-($F146*MAX(0,(Setup!$C$5-Setup!$C$7)-Setup!$C$4)))/($F146*Setup!$C$8),IF(AND($W146&gt;0,$K146&lt;($F146*MAX(0,(Setup!$C$5-Setup!$C$7)-Setup!$C$4))+($F146*Setup!$C$8*MAX(0,Setup!$C$5-MAX((Setup!$C$5-Setup!$C$7),Setup!$C$4)))+($W146/4*MAX(0,Setup!$C$5+4-MAX(Setup!$C$5,Setup!$C$4)))),MAX(Setup!$C$5,Setup!$C$4)+($K146-($F146*MAX(0,(Setup!$C$5-Setup!$C$7)-Setup!$C$4))-($F146*Setup!$C$8*MAX(0,Setup!$C$5-MAX((Setup!$C$5-Setup!$C$7),Setup!$C$4))))/($W146/4),MAX(Setup!$C$5+4,Setup!$C$4)+($K146-($F146*MAX(0,(Setup!$C$5-Setup!$C$7)-Setup!$C$4))-($F146*Setup!$C$8*MAX(0,Setup!$C$5-MAX((Setup!$C$5-Setup!$C$7),Setup!$C$4)))-($W146/4*MAX(0,Setup!$C$5+4-MAX(Setup!$C$5,Setup!$C$4))))/($F146*Setup!$C$14)))))))</f>
        <v/>
      </c>
      <c r="AI146" s="79" t="str">
        <f>IF($R146&lt;&gt;"OK","",IF(AND($L146&lt;&gt;"",$L146&gt;0,ISNUMBER($AH146),$M146&gt;$AH146),"Runs out before the incoming delivery arrives",IF($AB146=0,"OK",IF($K146+IF(AND($L146&lt;&gt;"",$L146&gt;0),IF($M146&lt;=$AG146,$L146,0),0)&lt;($F146*MAX(0,MIN($AG146,(Setup!$C$5-Setup!$C$7))-Setup!$C$4)+$F146*Setup!$C$8*MAX(0,MIN($AG146,Setup!$C$5)-MAX((Setup!$C$5-Setup!$C$7),Setup!$C$4))+$W146/4*MAX(0,MIN($AG146,Setup!$C$5+4)-MAX(Setup!$C$5,Setup!$C$4))+$F146*Setup!$C$14*MAX(0,$AG146-MAX(Setup!$C$5+4,Setup!$C$4))),"Runs out before this order can land","OK"))))</f>
        <v/>
      </c>
      <c r="AJ146" s="78" t="str">
        <f>IF($R146&lt;&gt;"OK","",IF($AB146=0,0,IF($AL146="Too slow: send it all fast",$AB146,$AR146)))</f>
        <v/>
      </c>
      <c r="AK146" s="78" t="str">
        <f>IF($R146&lt;&gt;"OK","",$AB146-$AJ146)</f>
        <v/>
      </c>
      <c r="AL146" s="78" t="str">
        <f>IF($R146&lt;&gt;"OK","",IF($AB146=0,"",IF($AB146-$AR146=0,"Nothing left over",IF($O146="Domestic",IF($AG146&lt;=Setup!$C$6+Setup!$C$20+1,"Later units can go by Domestic","Too slow: send it all fast"),IF($AS146+$N146+Setup!$C$25+Setup!$C$11&lt;=Setup!$C$6+Setup!$C$20+1,"Later units can go by Ocean long",IF($AS146+$N146+Setup!$C$26+Setup!$C$11&lt;=Setup!$C$6+Setup!$C$20+1,"Later units can go by Ocean short",IF($AS146+$N146+Setup!$C$27+Setup!$C$11&lt;=Setup!$C$6+Setup!$C$20+1,"Later units can go by Air",IF($AS146+$N146+Setup!$C$28+Setup!$C$11&lt;=Setup!$C$6+Setup!$C$20+1,"Later units can go by Express","Too slow: send it all fast"))))))))</f>
        <v/>
      </c>
      <c r="AM146" s="94" t="str">
        <f>IF($R146&lt;&gt;"OK","",$E146-$D146)</f>
        <v/>
      </c>
      <c r="AN146" s="95" t="str">
        <f>IF($R146&lt;&gt;"OK","",($E146-$D146)/$D146)</f>
        <v/>
      </c>
      <c r="AO146" s="95" t="str">
        <f>IF($R146&lt;&gt;"OK","",IF($AB146&gt;0,$AN146+IF($C146="Evergreen",1000,0),""))</f>
        <v/>
      </c>
      <c r="AP146" s="78" t="str">
        <f>IF(OR($R146&lt;&gt;"OK",$AO146=""),"",COUNTIF($AO$6:$AO$205,"&gt;"&amp;$AO146)+COUNTIF($AO$6:$AO146,$AO146))</f>
        <v/>
      </c>
      <c r="AQ146" s="78" t="str">
        <f>IF(OR($R146&lt;&gt;"OK",$AP146=""),"",INDEX('Buy list'!$G$5:$G$204,$AP146))</f>
        <v/>
      </c>
      <c r="AR146" s="78" t="str">
        <f>IF($R146&lt;&gt;"OK","",IF($AB146=0,0,MIN($AB146,CEILING(MAX(0,($F146*MAX(0,MIN((Setup!$C$6+1+Setup!$C$20),(Setup!$C$5-Setup!$C$7))-Setup!$C$4)+$F146*Setup!$C$8*MAX(0,MIN((Setup!$C$6+1+Setup!$C$20),Setup!$C$5)-MAX((Setup!$C$5-Setup!$C$7),Setup!$C$4))+$W146/4*MAX(0,MIN((Setup!$C$6+1+Setup!$C$20),Setup!$C$5+4)-MAX(Setup!$C$5,Setup!$C$4))+$F146*Setup!$C$14*MAX(0,(Setup!$C$6+1+Setup!$C$20)-MAX(Setup!$C$5+4,Setup!$C$4)))+$Y146-$K146-IF(AND($L146&lt;&gt;"",$L146&gt;0),IF($M146&lt;=Setup!$C$10,$L146,0),0)),IF(OR($P146="",$P146&lt;=0),1,$P146)))))</f>
        <v/>
      </c>
      <c r="AS146" s="96" t="str">
        <f>IF($R146&lt;&gt;"OK","",IF(AND($O146&lt;&gt;"Domestic",ISNUMBER(Setup!$C$22),Setup!$C$22&gt;Setup!$C$4),Setup!$C$22,Setup!$C$4))</f>
        <v/>
      </c>
      <c r="AT146" s="96" t="str">
        <f>IF($R146&lt;&gt;"OK","",IF($AB146=0,"",IF($O146="Domestic",$AG146,$AS146+$N146+Setup!$C$27+Setup!$C$11)))</f>
        <v/>
      </c>
    </row>
    <row r="147" ht="15" customHeight="1" s="46">
      <c r="A147" s="70" t="n"/>
      <c r="B147" s="70" t="n"/>
      <c r="C147" s="70" t="n"/>
      <c r="D147" s="85" t="n"/>
      <c r="E147" s="85" t="n"/>
      <c r="F147" s="86" t="n"/>
      <c r="G147" s="87" t="n"/>
      <c r="H147" s="88" t="n"/>
      <c r="I147" s="89" t="n"/>
      <c r="J147" s="90" t="n"/>
      <c r="K147" s="87" t="n"/>
      <c r="L147" s="87" t="n"/>
      <c r="M147" s="91" t="n"/>
      <c r="N147" s="92" t="n"/>
      <c r="O147" s="70" t="n"/>
      <c r="P147" s="92" t="n"/>
      <c r="Q147" s="87" t="n"/>
      <c r="R147" s="79" t="str">
        <f>IF($A147="","",IF($C147="","Missing: type",IF(OR($D147="",$D147&lt;=0),"Missing: unit cost",IF($E147="","Missing: unit price",IF($F147="","Missing: daily sales",IF($K147="","Missing: on hand",IF($N147="","Missing: production days",IF($O147="","Missing: freight mode",IF(ISNA(MATCH($O147,Setup!$B$25:$B$29,0)),"Unknown freight mode",IF(AND($L147&lt;&gt;"",$L147&gt;0,$M147=""),"Missing: on-order arrival date","OK"))))))))))</f>
        <v/>
      </c>
      <c r="S147" s="78" t="str">
        <f>IF($R147&lt;&gt;"OK","",IF($G147="","",ROUND($G147/IF(OR($H147="",$H147&lt;=0),4,$H147)*4,0)))</f>
        <v/>
      </c>
      <c r="T147" s="78" t="str">
        <f>IF($R147&lt;&gt;"OK","",ROUND(IF($G147="",$F147*4*Setup!$C$19,$G147/IF(OR($H147="",$H147&lt;=0),4,$H147)*4*(1+IF($I147="",Setup!$C$16,$I147)))*IF($J147="",1,$J147),0))</f>
        <v/>
      </c>
      <c r="U147" s="78" t="str">
        <f>IF($R147&lt;&gt;"OK","",ROUND($T147*Setup!$C$17,0))</f>
        <v/>
      </c>
      <c r="V147" s="78" t="str">
        <f>IF($R147&lt;&gt;"OK","",ROUND($T147*Setup!$C$18,0))</f>
        <v/>
      </c>
      <c r="W147" s="78" t="str">
        <f>IF($R147&lt;&gt;"OK","",IF($C147="Evergreen",$V147,IF($C147="Seasonal or new",$U147,$T147)))</f>
        <v/>
      </c>
      <c r="X147" s="78" t="str">
        <f>IF($R147&lt;&gt;"OK","",ROUND(($F147*MAX(0,MIN(Setup!$C$13+1,(Setup!$C$5-Setup!$C$7))-Setup!$C$4)+$F147*Setup!$C$8*MAX(0,MIN(Setup!$C$13+1,Setup!$C$5)-MAX((Setup!$C$5-Setup!$C$7),Setup!$C$4))+$W147/4*MAX(0,MIN(Setup!$C$13+1,Setup!$C$5+4)-MAX(Setup!$C$5,Setup!$C$4))+$F147*Setup!$C$14*MAX(0,Setup!$C$13+1-MAX(Setup!$C$5+4,Setup!$C$4))),0))</f>
        <v/>
      </c>
      <c r="Y147" s="78" t="str">
        <f>IF($R147&lt;&gt;"OK","",ROUND($F147*Setup!$C$15,0))</f>
        <v/>
      </c>
      <c r="Z147" s="78" t="str">
        <f>IF($R147&lt;&gt;"OK","",IF(AND($L147&lt;&gt;"",$L147&gt;0),IF($M147&lt;=Setup!$C$13,$L147,0),0))</f>
        <v/>
      </c>
      <c r="AA147" s="78" t="str">
        <f>IF($R147&lt;&gt;"OK","",MAX(0,$X147+$Y147-$K147-$Z147))</f>
        <v/>
      </c>
      <c r="AB147" s="78" t="str">
        <f>IF($R147&lt;&gt;"OK","",IF($AA147=0,0,CEILING(MAX($AA147,IF($Q147="",0,$Q147)),IF(OR($P147="",$P147&lt;=0),1,$P147))))</f>
        <v/>
      </c>
      <c r="AC147" s="78" t="str">
        <f>IF($R147&lt;&gt;"OK","",$AB147*$D147)</f>
        <v/>
      </c>
      <c r="AD147" s="93" t="str">
        <f>IF($R147&lt;&gt;"OK","",INDEX(Setup!$D$25:$D$29,MATCH($O147,Setup!$B$25:$B$29,0)))</f>
        <v/>
      </c>
      <c r="AE147" s="93" t="str">
        <f>IF($R147&lt;&gt;"OK","",$AD147-$N147)</f>
        <v/>
      </c>
      <c r="AF147" s="79" t="str">
        <f>IF($R147&lt;&gt;"OK","",IF($AB147=0,"No order needed",IF($AE147&gt;=$AS147,"Order by the deadline",IF(AND($O147&lt;&gt;"Domestic",Setup!$D$27-$N147&gt;=$AS147),"Late by this mode: fly it",IF(Setup!$D$28-$N147&gt;=$AS147,"Late: Express courier only",IF($AG147&lt;Setup!$C$5,"Tight: lands before Black Friday",IF(AND($O147&lt;&gt;"Domestic",$AT147&lt;Setup!$C$5),"Tight: by Air lands before Black Friday",IF($AS147+$N147+Setup!$C$28+Setup!$C$11&lt;Setup!$C$5,"Tight: by Express lands before Black Friday","Too late: ration"))))))))</f>
        <v/>
      </c>
      <c r="AG147" s="93" t="str">
        <f>IF($R147&lt;&gt;"OK","",IF($AB147=0,"",$AS147+$N147+INDEX(Setup!$C$25:$C$29,MATCH($O147,Setup!$B$25:$B$29,0))+Setup!$C$11))</f>
        <v/>
      </c>
      <c r="AH147" s="93" t="str">
        <f>IF($R147&lt;&gt;"OK","",IF($F147&lt;=0,"",INT(IF($K147&lt;($F147*MAX(0,(Setup!$C$5-Setup!$C$7)-Setup!$C$4)),Setup!$C$4+$K147/$F147,IF($K147&lt;($F147*MAX(0,(Setup!$C$5-Setup!$C$7)-Setup!$C$4))+($F147*Setup!$C$8*MAX(0,Setup!$C$5-MAX((Setup!$C$5-Setup!$C$7),Setup!$C$4))),MAX((Setup!$C$5-Setup!$C$7),Setup!$C$4)+($K147-($F147*MAX(0,(Setup!$C$5-Setup!$C$7)-Setup!$C$4)))/($F147*Setup!$C$8),IF(AND($W147&gt;0,$K147&lt;($F147*MAX(0,(Setup!$C$5-Setup!$C$7)-Setup!$C$4))+($F147*Setup!$C$8*MAX(0,Setup!$C$5-MAX((Setup!$C$5-Setup!$C$7),Setup!$C$4)))+($W147/4*MAX(0,Setup!$C$5+4-MAX(Setup!$C$5,Setup!$C$4)))),MAX(Setup!$C$5,Setup!$C$4)+($K147-($F147*MAX(0,(Setup!$C$5-Setup!$C$7)-Setup!$C$4))-($F147*Setup!$C$8*MAX(0,Setup!$C$5-MAX((Setup!$C$5-Setup!$C$7),Setup!$C$4))))/($W147/4),MAX(Setup!$C$5+4,Setup!$C$4)+($K147-($F147*MAX(0,(Setup!$C$5-Setup!$C$7)-Setup!$C$4))-($F147*Setup!$C$8*MAX(0,Setup!$C$5-MAX((Setup!$C$5-Setup!$C$7),Setup!$C$4)))-($W147/4*MAX(0,Setup!$C$5+4-MAX(Setup!$C$5,Setup!$C$4))))/($F147*Setup!$C$14)))))))</f>
        <v/>
      </c>
      <c r="AI147" s="79" t="str">
        <f>IF($R147&lt;&gt;"OK","",IF(AND($L147&lt;&gt;"",$L147&gt;0,ISNUMBER($AH147),$M147&gt;$AH147),"Runs out before the incoming delivery arrives",IF($AB147=0,"OK",IF($K147+IF(AND($L147&lt;&gt;"",$L147&gt;0),IF($M147&lt;=$AG147,$L147,0),0)&lt;($F147*MAX(0,MIN($AG147,(Setup!$C$5-Setup!$C$7))-Setup!$C$4)+$F147*Setup!$C$8*MAX(0,MIN($AG147,Setup!$C$5)-MAX((Setup!$C$5-Setup!$C$7),Setup!$C$4))+$W147/4*MAX(0,MIN($AG147,Setup!$C$5+4)-MAX(Setup!$C$5,Setup!$C$4))+$F147*Setup!$C$14*MAX(0,$AG147-MAX(Setup!$C$5+4,Setup!$C$4))),"Runs out before this order can land","OK"))))</f>
        <v/>
      </c>
      <c r="AJ147" s="78" t="str">
        <f>IF($R147&lt;&gt;"OK","",IF($AB147=0,0,IF($AL147="Too slow: send it all fast",$AB147,$AR147)))</f>
        <v/>
      </c>
      <c r="AK147" s="78" t="str">
        <f>IF($R147&lt;&gt;"OK","",$AB147-$AJ147)</f>
        <v/>
      </c>
      <c r="AL147" s="78" t="str">
        <f>IF($R147&lt;&gt;"OK","",IF($AB147=0,"",IF($AB147-$AR147=0,"Nothing left over",IF($O147="Domestic",IF($AG147&lt;=Setup!$C$6+Setup!$C$20+1,"Later units can go by Domestic","Too slow: send it all fast"),IF($AS147+$N147+Setup!$C$25+Setup!$C$11&lt;=Setup!$C$6+Setup!$C$20+1,"Later units can go by Ocean long",IF($AS147+$N147+Setup!$C$26+Setup!$C$11&lt;=Setup!$C$6+Setup!$C$20+1,"Later units can go by Ocean short",IF($AS147+$N147+Setup!$C$27+Setup!$C$11&lt;=Setup!$C$6+Setup!$C$20+1,"Later units can go by Air",IF($AS147+$N147+Setup!$C$28+Setup!$C$11&lt;=Setup!$C$6+Setup!$C$20+1,"Later units can go by Express","Too slow: send it all fast"))))))))</f>
        <v/>
      </c>
      <c r="AM147" s="94" t="str">
        <f>IF($R147&lt;&gt;"OK","",$E147-$D147)</f>
        <v/>
      </c>
      <c r="AN147" s="95" t="str">
        <f>IF($R147&lt;&gt;"OK","",($E147-$D147)/$D147)</f>
        <v/>
      </c>
      <c r="AO147" s="95" t="str">
        <f>IF($R147&lt;&gt;"OK","",IF($AB147&gt;0,$AN147+IF($C147="Evergreen",1000,0),""))</f>
        <v/>
      </c>
      <c r="AP147" s="78" t="str">
        <f>IF(OR($R147&lt;&gt;"OK",$AO147=""),"",COUNTIF($AO$6:$AO$205,"&gt;"&amp;$AO147)+COUNTIF($AO$6:$AO147,$AO147))</f>
        <v/>
      </c>
      <c r="AQ147" s="78" t="str">
        <f>IF(OR($R147&lt;&gt;"OK",$AP147=""),"",INDEX('Buy list'!$G$5:$G$204,$AP147))</f>
        <v/>
      </c>
      <c r="AR147" s="78" t="str">
        <f>IF($R147&lt;&gt;"OK","",IF($AB147=0,0,MIN($AB147,CEILING(MAX(0,($F147*MAX(0,MIN((Setup!$C$6+1+Setup!$C$20),(Setup!$C$5-Setup!$C$7))-Setup!$C$4)+$F147*Setup!$C$8*MAX(0,MIN((Setup!$C$6+1+Setup!$C$20),Setup!$C$5)-MAX((Setup!$C$5-Setup!$C$7),Setup!$C$4))+$W147/4*MAX(0,MIN((Setup!$C$6+1+Setup!$C$20),Setup!$C$5+4)-MAX(Setup!$C$5,Setup!$C$4))+$F147*Setup!$C$14*MAX(0,(Setup!$C$6+1+Setup!$C$20)-MAX(Setup!$C$5+4,Setup!$C$4)))+$Y147-$K147-IF(AND($L147&lt;&gt;"",$L147&gt;0),IF($M147&lt;=Setup!$C$10,$L147,0),0)),IF(OR($P147="",$P147&lt;=0),1,$P147)))))</f>
        <v/>
      </c>
      <c r="AS147" s="96" t="str">
        <f>IF($R147&lt;&gt;"OK","",IF(AND($O147&lt;&gt;"Domestic",ISNUMBER(Setup!$C$22),Setup!$C$22&gt;Setup!$C$4),Setup!$C$22,Setup!$C$4))</f>
        <v/>
      </c>
      <c r="AT147" s="96" t="str">
        <f>IF($R147&lt;&gt;"OK","",IF($AB147=0,"",IF($O147="Domestic",$AG147,$AS147+$N147+Setup!$C$27+Setup!$C$11)))</f>
        <v/>
      </c>
    </row>
    <row r="148" ht="15" customHeight="1" s="46">
      <c r="A148" s="70" t="n"/>
      <c r="B148" s="70" t="n"/>
      <c r="C148" s="70" t="n"/>
      <c r="D148" s="85" t="n"/>
      <c r="E148" s="85" t="n"/>
      <c r="F148" s="86" t="n"/>
      <c r="G148" s="87" t="n"/>
      <c r="H148" s="88" t="n"/>
      <c r="I148" s="89" t="n"/>
      <c r="J148" s="90" t="n"/>
      <c r="K148" s="87" t="n"/>
      <c r="L148" s="87" t="n"/>
      <c r="M148" s="91" t="n"/>
      <c r="N148" s="92" t="n"/>
      <c r="O148" s="70" t="n"/>
      <c r="P148" s="92" t="n"/>
      <c r="Q148" s="87" t="n"/>
      <c r="R148" s="79" t="str">
        <f>IF($A148="","",IF($C148="","Missing: type",IF(OR($D148="",$D148&lt;=0),"Missing: unit cost",IF($E148="","Missing: unit price",IF($F148="","Missing: daily sales",IF($K148="","Missing: on hand",IF($N148="","Missing: production days",IF($O148="","Missing: freight mode",IF(ISNA(MATCH($O148,Setup!$B$25:$B$29,0)),"Unknown freight mode",IF(AND($L148&lt;&gt;"",$L148&gt;0,$M148=""),"Missing: on-order arrival date","OK"))))))))))</f>
        <v/>
      </c>
      <c r="S148" s="78" t="str">
        <f>IF($R148&lt;&gt;"OK","",IF($G148="","",ROUND($G148/IF(OR($H148="",$H148&lt;=0),4,$H148)*4,0)))</f>
        <v/>
      </c>
      <c r="T148" s="78" t="str">
        <f>IF($R148&lt;&gt;"OK","",ROUND(IF($G148="",$F148*4*Setup!$C$19,$G148/IF(OR($H148="",$H148&lt;=0),4,$H148)*4*(1+IF($I148="",Setup!$C$16,$I148)))*IF($J148="",1,$J148),0))</f>
        <v/>
      </c>
      <c r="U148" s="78" t="str">
        <f>IF($R148&lt;&gt;"OK","",ROUND($T148*Setup!$C$17,0))</f>
        <v/>
      </c>
      <c r="V148" s="78" t="str">
        <f>IF($R148&lt;&gt;"OK","",ROUND($T148*Setup!$C$18,0))</f>
        <v/>
      </c>
      <c r="W148" s="78" t="str">
        <f>IF($R148&lt;&gt;"OK","",IF($C148="Evergreen",$V148,IF($C148="Seasonal or new",$U148,$T148)))</f>
        <v/>
      </c>
      <c r="X148" s="78" t="str">
        <f>IF($R148&lt;&gt;"OK","",ROUND(($F148*MAX(0,MIN(Setup!$C$13+1,(Setup!$C$5-Setup!$C$7))-Setup!$C$4)+$F148*Setup!$C$8*MAX(0,MIN(Setup!$C$13+1,Setup!$C$5)-MAX((Setup!$C$5-Setup!$C$7),Setup!$C$4))+$W148/4*MAX(0,MIN(Setup!$C$13+1,Setup!$C$5+4)-MAX(Setup!$C$5,Setup!$C$4))+$F148*Setup!$C$14*MAX(0,Setup!$C$13+1-MAX(Setup!$C$5+4,Setup!$C$4))),0))</f>
        <v/>
      </c>
      <c r="Y148" s="78" t="str">
        <f>IF($R148&lt;&gt;"OK","",ROUND($F148*Setup!$C$15,0))</f>
        <v/>
      </c>
      <c r="Z148" s="78" t="str">
        <f>IF($R148&lt;&gt;"OK","",IF(AND($L148&lt;&gt;"",$L148&gt;0),IF($M148&lt;=Setup!$C$13,$L148,0),0))</f>
        <v/>
      </c>
      <c r="AA148" s="78" t="str">
        <f>IF($R148&lt;&gt;"OK","",MAX(0,$X148+$Y148-$K148-$Z148))</f>
        <v/>
      </c>
      <c r="AB148" s="78" t="str">
        <f>IF($R148&lt;&gt;"OK","",IF($AA148=0,0,CEILING(MAX($AA148,IF($Q148="",0,$Q148)),IF(OR($P148="",$P148&lt;=0),1,$P148))))</f>
        <v/>
      </c>
      <c r="AC148" s="78" t="str">
        <f>IF($R148&lt;&gt;"OK","",$AB148*$D148)</f>
        <v/>
      </c>
      <c r="AD148" s="93" t="str">
        <f>IF($R148&lt;&gt;"OK","",INDEX(Setup!$D$25:$D$29,MATCH($O148,Setup!$B$25:$B$29,0)))</f>
        <v/>
      </c>
      <c r="AE148" s="93" t="str">
        <f>IF($R148&lt;&gt;"OK","",$AD148-$N148)</f>
        <v/>
      </c>
      <c r="AF148" s="79" t="str">
        <f>IF($R148&lt;&gt;"OK","",IF($AB148=0,"No order needed",IF($AE148&gt;=$AS148,"Order by the deadline",IF(AND($O148&lt;&gt;"Domestic",Setup!$D$27-$N148&gt;=$AS148),"Late by this mode: fly it",IF(Setup!$D$28-$N148&gt;=$AS148,"Late: Express courier only",IF($AG148&lt;Setup!$C$5,"Tight: lands before Black Friday",IF(AND($O148&lt;&gt;"Domestic",$AT148&lt;Setup!$C$5),"Tight: by Air lands before Black Friday",IF($AS148+$N148+Setup!$C$28+Setup!$C$11&lt;Setup!$C$5,"Tight: by Express lands before Black Friday","Too late: ration"))))))))</f>
        <v/>
      </c>
      <c r="AG148" s="93" t="str">
        <f>IF($R148&lt;&gt;"OK","",IF($AB148=0,"",$AS148+$N148+INDEX(Setup!$C$25:$C$29,MATCH($O148,Setup!$B$25:$B$29,0))+Setup!$C$11))</f>
        <v/>
      </c>
      <c r="AH148" s="93" t="str">
        <f>IF($R148&lt;&gt;"OK","",IF($F148&lt;=0,"",INT(IF($K148&lt;($F148*MAX(0,(Setup!$C$5-Setup!$C$7)-Setup!$C$4)),Setup!$C$4+$K148/$F148,IF($K148&lt;($F148*MAX(0,(Setup!$C$5-Setup!$C$7)-Setup!$C$4))+($F148*Setup!$C$8*MAX(0,Setup!$C$5-MAX((Setup!$C$5-Setup!$C$7),Setup!$C$4))),MAX((Setup!$C$5-Setup!$C$7),Setup!$C$4)+($K148-($F148*MAX(0,(Setup!$C$5-Setup!$C$7)-Setup!$C$4)))/($F148*Setup!$C$8),IF(AND($W148&gt;0,$K148&lt;($F148*MAX(0,(Setup!$C$5-Setup!$C$7)-Setup!$C$4))+($F148*Setup!$C$8*MAX(0,Setup!$C$5-MAX((Setup!$C$5-Setup!$C$7),Setup!$C$4)))+($W148/4*MAX(0,Setup!$C$5+4-MAX(Setup!$C$5,Setup!$C$4)))),MAX(Setup!$C$5,Setup!$C$4)+($K148-($F148*MAX(0,(Setup!$C$5-Setup!$C$7)-Setup!$C$4))-($F148*Setup!$C$8*MAX(0,Setup!$C$5-MAX((Setup!$C$5-Setup!$C$7),Setup!$C$4))))/($W148/4),MAX(Setup!$C$5+4,Setup!$C$4)+($K148-($F148*MAX(0,(Setup!$C$5-Setup!$C$7)-Setup!$C$4))-($F148*Setup!$C$8*MAX(0,Setup!$C$5-MAX((Setup!$C$5-Setup!$C$7),Setup!$C$4)))-($W148/4*MAX(0,Setup!$C$5+4-MAX(Setup!$C$5,Setup!$C$4))))/($F148*Setup!$C$14)))))))</f>
        <v/>
      </c>
      <c r="AI148" s="79" t="str">
        <f>IF($R148&lt;&gt;"OK","",IF(AND($L148&lt;&gt;"",$L148&gt;0,ISNUMBER($AH148),$M148&gt;$AH148),"Runs out before the incoming delivery arrives",IF($AB148=0,"OK",IF($K148+IF(AND($L148&lt;&gt;"",$L148&gt;0),IF($M148&lt;=$AG148,$L148,0),0)&lt;($F148*MAX(0,MIN($AG148,(Setup!$C$5-Setup!$C$7))-Setup!$C$4)+$F148*Setup!$C$8*MAX(0,MIN($AG148,Setup!$C$5)-MAX((Setup!$C$5-Setup!$C$7),Setup!$C$4))+$W148/4*MAX(0,MIN($AG148,Setup!$C$5+4)-MAX(Setup!$C$5,Setup!$C$4))+$F148*Setup!$C$14*MAX(0,$AG148-MAX(Setup!$C$5+4,Setup!$C$4))),"Runs out before this order can land","OK"))))</f>
        <v/>
      </c>
      <c r="AJ148" s="78" t="str">
        <f>IF($R148&lt;&gt;"OK","",IF($AB148=0,0,IF($AL148="Too slow: send it all fast",$AB148,$AR148)))</f>
        <v/>
      </c>
      <c r="AK148" s="78" t="str">
        <f>IF($R148&lt;&gt;"OK","",$AB148-$AJ148)</f>
        <v/>
      </c>
      <c r="AL148" s="78" t="str">
        <f>IF($R148&lt;&gt;"OK","",IF($AB148=0,"",IF($AB148-$AR148=0,"Nothing left over",IF($O148="Domestic",IF($AG148&lt;=Setup!$C$6+Setup!$C$20+1,"Later units can go by Domestic","Too slow: send it all fast"),IF($AS148+$N148+Setup!$C$25+Setup!$C$11&lt;=Setup!$C$6+Setup!$C$20+1,"Later units can go by Ocean long",IF($AS148+$N148+Setup!$C$26+Setup!$C$11&lt;=Setup!$C$6+Setup!$C$20+1,"Later units can go by Ocean short",IF($AS148+$N148+Setup!$C$27+Setup!$C$11&lt;=Setup!$C$6+Setup!$C$20+1,"Later units can go by Air",IF($AS148+$N148+Setup!$C$28+Setup!$C$11&lt;=Setup!$C$6+Setup!$C$20+1,"Later units can go by Express","Too slow: send it all fast"))))))))</f>
        <v/>
      </c>
      <c r="AM148" s="94" t="str">
        <f>IF($R148&lt;&gt;"OK","",$E148-$D148)</f>
        <v/>
      </c>
      <c r="AN148" s="95" t="str">
        <f>IF($R148&lt;&gt;"OK","",($E148-$D148)/$D148)</f>
        <v/>
      </c>
      <c r="AO148" s="95" t="str">
        <f>IF($R148&lt;&gt;"OK","",IF($AB148&gt;0,$AN148+IF($C148="Evergreen",1000,0),""))</f>
        <v/>
      </c>
      <c r="AP148" s="78" t="str">
        <f>IF(OR($R148&lt;&gt;"OK",$AO148=""),"",COUNTIF($AO$6:$AO$205,"&gt;"&amp;$AO148)+COUNTIF($AO$6:$AO148,$AO148))</f>
        <v/>
      </c>
      <c r="AQ148" s="78" t="str">
        <f>IF(OR($R148&lt;&gt;"OK",$AP148=""),"",INDEX('Buy list'!$G$5:$G$204,$AP148))</f>
        <v/>
      </c>
      <c r="AR148" s="78" t="str">
        <f>IF($R148&lt;&gt;"OK","",IF($AB148=0,0,MIN($AB148,CEILING(MAX(0,($F148*MAX(0,MIN((Setup!$C$6+1+Setup!$C$20),(Setup!$C$5-Setup!$C$7))-Setup!$C$4)+$F148*Setup!$C$8*MAX(0,MIN((Setup!$C$6+1+Setup!$C$20),Setup!$C$5)-MAX((Setup!$C$5-Setup!$C$7),Setup!$C$4))+$W148/4*MAX(0,MIN((Setup!$C$6+1+Setup!$C$20),Setup!$C$5+4)-MAX(Setup!$C$5,Setup!$C$4))+$F148*Setup!$C$14*MAX(0,(Setup!$C$6+1+Setup!$C$20)-MAX(Setup!$C$5+4,Setup!$C$4)))+$Y148-$K148-IF(AND($L148&lt;&gt;"",$L148&gt;0),IF($M148&lt;=Setup!$C$10,$L148,0),0)),IF(OR($P148="",$P148&lt;=0),1,$P148)))))</f>
        <v/>
      </c>
      <c r="AS148" s="96" t="str">
        <f>IF($R148&lt;&gt;"OK","",IF(AND($O148&lt;&gt;"Domestic",ISNUMBER(Setup!$C$22),Setup!$C$22&gt;Setup!$C$4),Setup!$C$22,Setup!$C$4))</f>
        <v/>
      </c>
      <c r="AT148" s="96" t="str">
        <f>IF($R148&lt;&gt;"OK","",IF($AB148=0,"",IF($O148="Domestic",$AG148,$AS148+$N148+Setup!$C$27+Setup!$C$11)))</f>
        <v/>
      </c>
    </row>
    <row r="149" ht="15" customHeight="1" s="46">
      <c r="A149" s="70" t="n"/>
      <c r="B149" s="70" t="n"/>
      <c r="C149" s="70" t="n"/>
      <c r="D149" s="85" t="n"/>
      <c r="E149" s="85" t="n"/>
      <c r="F149" s="86" t="n"/>
      <c r="G149" s="87" t="n"/>
      <c r="H149" s="88" t="n"/>
      <c r="I149" s="89" t="n"/>
      <c r="J149" s="90" t="n"/>
      <c r="K149" s="87" t="n"/>
      <c r="L149" s="87" t="n"/>
      <c r="M149" s="91" t="n"/>
      <c r="N149" s="92" t="n"/>
      <c r="O149" s="70" t="n"/>
      <c r="P149" s="92" t="n"/>
      <c r="Q149" s="87" t="n"/>
      <c r="R149" s="79" t="str">
        <f>IF($A149="","",IF($C149="","Missing: type",IF(OR($D149="",$D149&lt;=0),"Missing: unit cost",IF($E149="","Missing: unit price",IF($F149="","Missing: daily sales",IF($K149="","Missing: on hand",IF($N149="","Missing: production days",IF($O149="","Missing: freight mode",IF(ISNA(MATCH($O149,Setup!$B$25:$B$29,0)),"Unknown freight mode",IF(AND($L149&lt;&gt;"",$L149&gt;0,$M149=""),"Missing: on-order arrival date","OK"))))))))))</f>
        <v/>
      </c>
      <c r="S149" s="78" t="str">
        <f>IF($R149&lt;&gt;"OK","",IF($G149="","",ROUND($G149/IF(OR($H149="",$H149&lt;=0),4,$H149)*4,0)))</f>
        <v/>
      </c>
      <c r="T149" s="78" t="str">
        <f>IF($R149&lt;&gt;"OK","",ROUND(IF($G149="",$F149*4*Setup!$C$19,$G149/IF(OR($H149="",$H149&lt;=0),4,$H149)*4*(1+IF($I149="",Setup!$C$16,$I149)))*IF($J149="",1,$J149),0))</f>
        <v/>
      </c>
      <c r="U149" s="78" t="str">
        <f>IF($R149&lt;&gt;"OK","",ROUND($T149*Setup!$C$17,0))</f>
        <v/>
      </c>
      <c r="V149" s="78" t="str">
        <f>IF($R149&lt;&gt;"OK","",ROUND($T149*Setup!$C$18,0))</f>
        <v/>
      </c>
      <c r="W149" s="78" t="str">
        <f>IF($R149&lt;&gt;"OK","",IF($C149="Evergreen",$V149,IF($C149="Seasonal or new",$U149,$T149)))</f>
        <v/>
      </c>
      <c r="X149" s="78" t="str">
        <f>IF($R149&lt;&gt;"OK","",ROUND(($F149*MAX(0,MIN(Setup!$C$13+1,(Setup!$C$5-Setup!$C$7))-Setup!$C$4)+$F149*Setup!$C$8*MAX(0,MIN(Setup!$C$13+1,Setup!$C$5)-MAX((Setup!$C$5-Setup!$C$7),Setup!$C$4))+$W149/4*MAX(0,MIN(Setup!$C$13+1,Setup!$C$5+4)-MAX(Setup!$C$5,Setup!$C$4))+$F149*Setup!$C$14*MAX(0,Setup!$C$13+1-MAX(Setup!$C$5+4,Setup!$C$4))),0))</f>
        <v/>
      </c>
      <c r="Y149" s="78" t="str">
        <f>IF($R149&lt;&gt;"OK","",ROUND($F149*Setup!$C$15,0))</f>
        <v/>
      </c>
      <c r="Z149" s="78" t="str">
        <f>IF($R149&lt;&gt;"OK","",IF(AND($L149&lt;&gt;"",$L149&gt;0),IF($M149&lt;=Setup!$C$13,$L149,0),0))</f>
        <v/>
      </c>
      <c r="AA149" s="78" t="str">
        <f>IF($R149&lt;&gt;"OK","",MAX(0,$X149+$Y149-$K149-$Z149))</f>
        <v/>
      </c>
      <c r="AB149" s="78" t="str">
        <f>IF($R149&lt;&gt;"OK","",IF($AA149=0,0,CEILING(MAX($AA149,IF($Q149="",0,$Q149)),IF(OR($P149="",$P149&lt;=0),1,$P149))))</f>
        <v/>
      </c>
      <c r="AC149" s="78" t="str">
        <f>IF($R149&lt;&gt;"OK","",$AB149*$D149)</f>
        <v/>
      </c>
      <c r="AD149" s="93" t="str">
        <f>IF($R149&lt;&gt;"OK","",INDEX(Setup!$D$25:$D$29,MATCH($O149,Setup!$B$25:$B$29,0)))</f>
        <v/>
      </c>
      <c r="AE149" s="93" t="str">
        <f>IF($R149&lt;&gt;"OK","",$AD149-$N149)</f>
        <v/>
      </c>
      <c r="AF149" s="79" t="str">
        <f>IF($R149&lt;&gt;"OK","",IF($AB149=0,"No order needed",IF($AE149&gt;=$AS149,"Order by the deadline",IF(AND($O149&lt;&gt;"Domestic",Setup!$D$27-$N149&gt;=$AS149),"Late by this mode: fly it",IF(Setup!$D$28-$N149&gt;=$AS149,"Late: Express courier only",IF($AG149&lt;Setup!$C$5,"Tight: lands before Black Friday",IF(AND($O149&lt;&gt;"Domestic",$AT149&lt;Setup!$C$5),"Tight: by Air lands before Black Friday",IF($AS149+$N149+Setup!$C$28+Setup!$C$11&lt;Setup!$C$5,"Tight: by Express lands before Black Friday","Too late: ration"))))))))</f>
        <v/>
      </c>
      <c r="AG149" s="93" t="str">
        <f>IF($R149&lt;&gt;"OK","",IF($AB149=0,"",$AS149+$N149+INDEX(Setup!$C$25:$C$29,MATCH($O149,Setup!$B$25:$B$29,0))+Setup!$C$11))</f>
        <v/>
      </c>
      <c r="AH149" s="93" t="str">
        <f>IF($R149&lt;&gt;"OK","",IF($F149&lt;=0,"",INT(IF($K149&lt;($F149*MAX(0,(Setup!$C$5-Setup!$C$7)-Setup!$C$4)),Setup!$C$4+$K149/$F149,IF($K149&lt;($F149*MAX(0,(Setup!$C$5-Setup!$C$7)-Setup!$C$4))+($F149*Setup!$C$8*MAX(0,Setup!$C$5-MAX((Setup!$C$5-Setup!$C$7),Setup!$C$4))),MAX((Setup!$C$5-Setup!$C$7),Setup!$C$4)+($K149-($F149*MAX(0,(Setup!$C$5-Setup!$C$7)-Setup!$C$4)))/($F149*Setup!$C$8),IF(AND($W149&gt;0,$K149&lt;($F149*MAX(0,(Setup!$C$5-Setup!$C$7)-Setup!$C$4))+($F149*Setup!$C$8*MAX(0,Setup!$C$5-MAX((Setup!$C$5-Setup!$C$7),Setup!$C$4)))+($W149/4*MAX(0,Setup!$C$5+4-MAX(Setup!$C$5,Setup!$C$4)))),MAX(Setup!$C$5,Setup!$C$4)+($K149-($F149*MAX(0,(Setup!$C$5-Setup!$C$7)-Setup!$C$4))-($F149*Setup!$C$8*MAX(0,Setup!$C$5-MAX((Setup!$C$5-Setup!$C$7),Setup!$C$4))))/($W149/4),MAX(Setup!$C$5+4,Setup!$C$4)+($K149-($F149*MAX(0,(Setup!$C$5-Setup!$C$7)-Setup!$C$4))-($F149*Setup!$C$8*MAX(0,Setup!$C$5-MAX((Setup!$C$5-Setup!$C$7),Setup!$C$4)))-($W149/4*MAX(0,Setup!$C$5+4-MAX(Setup!$C$5,Setup!$C$4))))/($F149*Setup!$C$14)))))))</f>
        <v/>
      </c>
      <c r="AI149" s="79" t="str">
        <f>IF($R149&lt;&gt;"OK","",IF(AND($L149&lt;&gt;"",$L149&gt;0,ISNUMBER($AH149),$M149&gt;$AH149),"Runs out before the incoming delivery arrives",IF($AB149=0,"OK",IF($K149+IF(AND($L149&lt;&gt;"",$L149&gt;0),IF($M149&lt;=$AG149,$L149,0),0)&lt;($F149*MAX(0,MIN($AG149,(Setup!$C$5-Setup!$C$7))-Setup!$C$4)+$F149*Setup!$C$8*MAX(0,MIN($AG149,Setup!$C$5)-MAX((Setup!$C$5-Setup!$C$7),Setup!$C$4))+$W149/4*MAX(0,MIN($AG149,Setup!$C$5+4)-MAX(Setup!$C$5,Setup!$C$4))+$F149*Setup!$C$14*MAX(0,$AG149-MAX(Setup!$C$5+4,Setup!$C$4))),"Runs out before this order can land","OK"))))</f>
        <v/>
      </c>
      <c r="AJ149" s="78" t="str">
        <f>IF($R149&lt;&gt;"OK","",IF($AB149=0,0,IF($AL149="Too slow: send it all fast",$AB149,$AR149)))</f>
        <v/>
      </c>
      <c r="AK149" s="78" t="str">
        <f>IF($R149&lt;&gt;"OK","",$AB149-$AJ149)</f>
        <v/>
      </c>
      <c r="AL149" s="78" t="str">
        <f>IF($R149&lt;&gt;"OK","",IF($AB149=0,"",IF($AB149-$AR149=0,"Nothing left over",IF($O149="Domestic",IF($AG149&lt;=Setup!$C$6+Setup!$C$20+1,"Later units can go by Domestic","Too slow: send it all fast"),IF($AS149+$N149+Setup!$C$25+Setup!$C$11&lt;=Setup!$C$6+Setup!$C$20+1,"Later units can go by Ocean long",IF($AS149+$N149+Setup!$C$26+Setup!$C$11&lt;=Setup!$C$6+Setup!$C$20+1,"Later units can go by Ocean short",IF($AS149+$N149+Setup!$C$27+Setup!$C$11&lt;=Setup!$C$6+Setup!$C$20+1,"Later units can go by Air",IF($AS149+$N149+Setup!$C$28+Setup!$C$11&lt;=Setup!$C$6+Setup!$C$20+1,"Later units can go by Express","Too slow: send it all fast"))))))))</f>
        <v/>
      </c>
      <c r="AM149" s="94" t="str">
        <f>IF($R149&lt;&gt;"OK","",$E149-$D149)</f>
        <v/>
      </c>
      <c r="AN149" s="95" t="str">
        <f>IF($R149&lt;&gt;"OK","",($E149-$D149)/$D149)</f>
        <v/>
      </c>
      <c r="AO149" s="95" t="str">
        <f>IF($R149&lt;&gt;"OK","",IF($AB149&gt;0,$AN149+IF($C149="Evergreen",1000,0),""))</f>
        <v/>
      </c>
      <c r="AP149" s="78" t="str">
        <f>IF(OR($R149&lt;&gt;"OK",$AO149=""),"",COUNTIF($AO$6:$AO$205,"&gt;"&amp;$AO149)+COUNTIF($AO$6:$AO149,$AO149))</f>
        <v/>
      </c>
      <c r="AQ149" s="78" t="str">
        <f>IF(OR($R149&lt;&gt;"OK",$AP149=""),"",INDEX('Buy list'!$G$5:$G$204,$AP149))</f>
        <v/>
      </c>
      <c r="AR149" s="78" t="str">
        <f>IF($R149&lt;&gt;"OK","",IF($AB149=0,0,MIN($AB149,CEILING(MAX(0,($F149*MAX(0,MIN((Setup!$C$6+1+Setup!$C$20),(Setup!$C$5-Setup!$C$7))-Setup!$C$4)+$F149*Setup!$C$8*MAX(0,MIN((Setup!$C$6+1+Setup!$C$20),Setup!$C$5)-MAX((Setup!$C$5-Setup!$C$7),Setup!$C$4))+$W149/4*MAX(0,MIN((Setup!$C$6+1+Setup!$C$20),Setup!$C$5+4)-MAX(Setup!$C$5,Setup!$C$4))+$F149*Setup!$C$14*MAX(0,(Setup!$C$6+1+Setup!$C$20)-MAX(Setup!$C$5+4,Setup!$C$4)))+$Y149-$K149-IF(AND($L149&lt;&gt;"",$L149&gt;0),IF($M149&lt;=Setup!$C$10,$L149,0),0)),IF(OR($P149="",$P149&lt;=0),1,$P149)))))</f>
        <v/>
      </c>
      <c r="AS149" s="96" t="str">
        <f>IF($R149&lt;&gt;"OK","",IF(AND($O149&lt;&gt;"Domestic",ISNUMBER(Setup!$C$22),Setup!$C$22&gt;Setup!$C$4),Setup!$C$22,Setup!$C$4))</f>
        <v/>
      </c>
      <c r="AT149" s="96" t="str">
        <f>IF($R149&lt;&gt;"OK","",IF($AB149=0,"",IF($O149="Domestic",$AG149,$AS149+$N149+Setup!$C$27+Setup!$C$11)))</f>
        <v/>
      </c>
    </row>
    <row r="150" ht="15" customHeight="1" s="46">
      <c r="A150" s="70" t="n"/>
      <c r="B150" s="70" t="n"/>
      <c r="C150" s="70" t="n"/>
      <c r="D150" s="85" t="n"/>
      <c r="E150" s="85" t="n"/>
      <c r="F150" s="86" t="n"/>
      <c r="G150" s="87" t="n"/>
      <c r="H150" s="88" t="n"/>
      <c r="I150" s="89" t="n"/>
      <c r="J150" s="90" t="n"/>
      <c r="K150" s="87" t="n"/>
      <c r="L150" s="87" t="n"/>
      <c r="M150" s="91" t="n"/>
      <c r="N150" s="92" t="n"/>
      <c r="O150" s="70" t="n"/>
      <c r="P150" s="92" t="n"/>
      <c r="Q150" s="87" t="n"/>
      <c r="R150" s="79" t="str">
        <f>IF($A150="","",IF($C150="","Missing: type",IF(OR($D150="",$D150&lt;=0),"Missing: unit cost",IF($E150="","Missing: unit price",IF($F150="","Missing: daily sales",IF($K150="","Missing: on hand",IF($N150="","Missing: production days",IF($O150="","Missing: freight mode",IF(ISNA(MATCH($O150,Setup!$B$25:$B$29,0)),"Unknown freight mode",IF(AND($L150&lt;&gt;"",$L150&gt;0,$M150=""),"Missing: on-order arrival date","OK"))))))))))</f>
        <v/>
      </c>
      <c r="S150" s="78" t="str">
        <f>IF($R150&lt;&gt;"OK","",IF($G150="","",ROUND($G150/IF(OR($H150="",$H150&lt;=0),4,$H150)*4,0)))</f>
        <v/>
      </c>
      <c r="T150" s="78" t="str">
        <f>IF($R150&lt;&gt;"OK","",ROUND(IF($G150="",$F150*4*Setup!$C$19,$G150/IF(OR($H150="",$H150&lt;=0),4,$H150)*4*(1+IF($I150="",Setup!$C$16,$I150)))*IF($J150="",1,$J150),0))</f>
        <v/>
      </c>
      <c r="U150" s="78" t="str">
        <f>IF($R150&lt;&gt;"OK","",ROUND($T150*Setup!$C$17,0))</f>
        <v/>
      </c>
      <c r="V150" s="78" t="str">
        <f>IF($R150&lt;&gt;"OK","",ROUND($T150*Setup!$C$18,0))</f>
        <v/>
      </c>
      <c r="W150" s="78" t="str">
        <f>IF($R150&lt;&gt;"OK","",IF($C150="Evergreen",$V150,IF($C150="Seasonal or new",$U150,$T150)))</f>
        <v/>
      </c>
      <c r="X150" s="78" t="str">
        <f>IF($R150&lt;&gt;"OK","",ROUND(($F150*MAX(0,MIN(Setup!$C$13+1,(Setup!$C$5-Setup!$C$7))-Setup!$C$4)+$F150*Setup!$C$8*MAX(0,MIN(Setup!$C$13+1,Setup!$C$5)-MAX((Setup!$C$5-Setup!$C$7),Setup!$C$4))+$W150/4*MAX(0,MIN(Setup!$C$13+1,Setup!$C$5+4)-MAX(Setup!$C$5,Setup!$C$4))+$F150*Setup!$C$14*MAX(0,Setup!$C$13+1-MAX(Setup!$C$5+4,Setup!$C$4))),0))</f>
        <v/>
      </c>
      <c r="Y150" s="78" t="str">
        <f>IF($R150&lt;&gt;"OK","",ROUND($F150*Setup!$C$15,0))</f>
        <v/>
      </c>
      <c r="Z150" s="78" t="str">
        <f>IF($R150&lt;&gt;"OK","",IF(AND($L150&lt;&gt;"",$L150&gt;0),IF($M150&lt;=Setup!$C$13,$L150,0),0))</f>
        <v/>
      </c>
      <c r="AA150" s="78" t="str">
        <f>IF($R150&lt;&gt;"OK","",MAX(0,$X150+$Y150-$K150-$Z150))</f>
        <v/>
      </c>
      <c r="AB150" s="78" t="str">
        <f>IF($R150&lt;&gt;"OK","",IF($AA150=0,0,CEILING(MAX($AA150,IF($Q150="",0,$Q150)),IF(OR($P150="",$P150&lt;=0),1,$P150))))</f>
        <v/>
      </c>
      <c r="AC150" s="78" t="str">
        <f>IF($R150&lt;&gt;"OK","",$AB150*$D150)</f>
        <v/>
      </c>
      <c r="AD150" s="93" t="str">
        <f>IF($R150&lt;&gt;"OK","",INDEX(Setup!$D$25:$D$29,MATCH($O150,Setup!$B$25:$B$29,0)))</f>
        <v/>
      </c>
      <c r="AE150" s="93" t="str">
        <f>IF($R150&lt;&gt;"OK","",$AD150-$N150)</f>
        <v/>
      </c>
      <c r="AF150" s="79" t="str">
        <f>IF($R150&lt;&gt;"OK","",IF($AB150=0,"No order needed",IF($AE150&gt;=$AS150,"Order by the deadline",IF(AND($O150&lt;&gt;"Domestic",Setup!$D$27-$N150&gt;=$AS150),"Late by this mode: fly it",IF(Setup!$D$28-$N150&gt;=$AS150,"Late: Express courier only",IF($AG150&lt;Setup!$C$5,"Tight: lands before Black Friday",IF(AND($O150&lt;&gt;"Domestic",$AT150&lt;Setup!$C$5),"Tight: by Air lands before Black Friday",IF($AS150+$N150+Setup!$C$28+Setup!$C$11&lt;Setup!$C$5,"Tight: by Express lands before Black Friday","Too late: ration"))))))))</f>
        <v/>
      </c>
      <c r="AG150" s="93" t="str">
        <f>IF($R150&lt;&gt;"OK","",IF($AB150=0,"",$AS150+$N150+INDEX(Setup!$C$25:$C$29,MATCH($O150,Setup!$B$25:$B$29,0))+Setup!$C$11))</f>
        <v/>
      </c>
      <c r="AH150" s="93" t="str">
        <f>IF($R150&lt;&gt;"OK","",IF($F150&lt;=0,"",INT(IF($K150&lt;($F150*MAX(0,(Setup!$C$5-Setup!$C$7)-Setup!$C$4)),Setup!$C$4+$K150/$F150,IF($K150&lt;($F150*MAX(0,(Setup!$C$5-Setup!$C$7)-Setup!$C$4))+($F150*Setup!$C$8*MAX(0,Setup!$C$5-MAX((Setup!$C$5-Setup!$C$7),Setup!$C$4))),MAX((Setup!$C$5-Setup!$C$7),Setup!$C$4)+($K150-($F150*MAX(0,(Setup!$C$5-Setup!$C$7)-Setup!$C$4)))/($F150*Setup!$C$8),IF(AND($W150&gt;0,$K150&lt;($F150*MAX(0,(Setup!$C$5-Setup!$C$7)-Setup!$C$4))+($F150*Setup!$C$8*MAX(0,Setup!$C$5-MAX((Setup!$C$5-Setup!$C$7),Setup!$C$4)))+($W150/4*MAX(0,Setup!$C$5+4-MAX(Setup!$C$5,Setup!$C$4)))),MAX(Setup!$C$5,Setup!$C$4)+($K150-($F150*MAX(0,(Setup!$C$5-Setup!$C$7)-Setup!$C$4))-($F150*Setup!$C$8*MAX(0,Setup!$C$5-MAX((Setup!$C$5-Setup!$C$7),Setup!$C$4))))/($W150/4),MAX(Setup!$C$5+4,Setup!$C$4)+($K150-($F150*MAX(0,(Setup!$C$5-Setup!$C$7)-Setup!$C$4))-($F150*Setup!$C$8*MAX(0,Setup!$C$5-MAX((Setup!$C$5-Setup!$C$7),Setup!$C$4)))-($W150/4*MAX(0,Setup!$C$5+4-MAX(Setup!$C$5,Setup!$C$4))))/($F150*Setup!$C$14)))))))</f>
        <v/>
      </c>
      <c r="AI150" s="79" t="str">
        <f>IF($R150&lt;&gt;"OK","",IF(AND($L150&lt;&gt;"",$L150&gt;0,ISNUMBER($AH150),$M150&gt;$AH150),"Runs out before the incoming delivery arrives",IF($AB150=0,"OK",IF($K150+IF(AND($L150&lt;&gt;"",$L150&gt;0),IF($M150&lt;=$AG150,$L150,0),0)&lt;($F150*MAX(0,MIN($AG150,(Setup!$C$5-Setup!$C$7))-Setup!$C$4)+$F150*Setup!$C$8*MAX(0,MIN($AG150,Setup!$C$5)-MAX((Setup!$C$5-Setup!$C$7),Setup!$C$4))+$W150/4*MAX(0,MIN($AG150,Setup!$C$5+4)-MAX(Setup!$C$5,Setup!$C$4))+$F150*Setup!$C$14*MAX(0,$AG150-MAX(Setup!$C$5+4,Setup!$C$4))),"Runs out before this order can land","OK"))))</f>
        <v/>
      </c>
      <c r="AJ150" s="78" t="str">
        <f>IF($R150&lt;&gt;"OK","",IF($AB150=0,0,IF($AL150="Too slow: send it all fast",$AB150,$AR150)))</f>
        <v/>
      </c>
      <c r="AK150" s="78" t="str">
        <f>IF($R150&lt;&gt;"OK","",$AB150-$AJ150)</f>
        <v/>
      </c>
      <c r="AL150" s="78" t="str">
        <f>IF($R150&lt;&gt;"OK","",IF($AB150=0,"",IF($AB150-$AR150=0,"Nothing left over",IF($O150="Domestic",IF($AG150&lt;=Setup!$C$6+Setup!$C$20+1,"Later units can go by Domestic","Too slow: send it all fast"),IF($AS150+$N150+Setup!$C$25+Setup!$C$11&lt;=Setup!$C$6+Setup!$C$20+1,"Later units can go by Ocean long",IF($AS150+$N150+Setup!$C$26+Setup!$C$11&lt;=Setup!$C$6+Setup!$C$20+1,"Later units can go by Ocean short",IF($AS150+$N150+Setup!$C$27+Setup!$C$11&lt;=Setup!$C$6+Setup!$C$20+1,"Later units can go by Air",IF($AS150+$N150+Setup!$C$28+Setup!$C$11&lt;=Setup!$C$6+Setup!$C$20+1,"Later units can go by Express","Too slow: send it all fast"))))))))</f>
        <v/>
      </c>
      <c r="AM150" s="94" t="str">
        <f>IF($R150&lt;&gt;"OK","",$E150-$D150)</f>
        <v/>
      </c>
      <c r="AN150" s="95" t="str">
        <f>IF($R150&lt;&gt;"OK","",($E150-$D150)/$D150)</f>
        <v/>
      </c>
      <c r="AO150" s="95" t="str">
        <f>IF($R150&lt;&gt;"OK","",IF($AB150&gt;0,$AN150+IF($C150="Evergreen",1000,0),""))</f>
        <v/>
      </c>
      <c r="AP150" s="78" t="str">
        <f>IF(OR($R150&lt;&gt;"OK",$AO150=""),"",COUNTIF($AO$6:$AO$205,"&gt;"&amp;$AO150)+COUNTIF($AO$6:$AO150,$AO150))</f>
        <v/>
      </c>
      <c r="AQ150" s="78" t="str">
        <f>IF(OR($R150&lt;&gt;"OK",$AP150=""),"",INDEX('Buy list'!$G$5:$G$204,$AP150))</f>
        <v/>
      </c>
      <c r="AR150" s="78" t="str">
        <f>IF($R150&lt;&gt;"OK","",IF($AB150=0,0,MIN($AB150,CEILING(MAX(0,($F150*MAX(0,MIN((Setup!$C$6+1+Setup!$C$20),(Setup!$C$5-Setup!$C$7))-Setup!$C$4)+$F150*Setup!$C$8*MAX(0,MIN((Setup!$C$6+1+Setup!$C$20),Setup!$C$5)-MAX((Setup!$C$5-Setup!$C$7),Setup!$C$4))+$W150/4*MAX(0,MIN((Setup!$C$6+1+Setup!$C$20),Setup!$C$5+4)-MAX(Setup!$C$5,Setup!$C$4))+$F150*Setup!$C$14*MAX(0,(Setup!$C$6+1+Setup!$C$20)-MAX(Setup!$C$5+4,Setup!$C$4)))+$Y150-$K150-IF(AND($L150&lt;&gt;"",$L150&gt;0),IF($M150&lt;=Setup!$C$10,$L150,0),0)),IF(OR($P150="",$P150&lt;=0),1,$P150)))))</f>
        <v/>
      </c>
      <c r="AS150" s="96" t="str">
        <f>IF($R150&lt;&gt;"OK","",IF(AND($O150&lt;&gt;"Domestic",ISNUMBER(Setup!$C$22),Setup!$C$22&gt;Setup!$C$4),Setup!$C$22,Setup!$C$4))</f>
        <v/>
      </c>
      <c r="AT150" s="96" t="str">
        <f>IF($R150&lt;&gt;"OK","",IF($AB150=0,"",IF($O150="Domestic",$AG150,$AS150+$N150+Setup!$C$27+Setup!$C$11)))</f>
        <v/>
      </c>
    </row>
    <row r="151" ht="15" customHeight="1" s="46">
      <c r="A151" s="70" t="n"/>
      <c r="B151" s="70" t="n"/>
      <c r="C151" s="70" t="n"/>
      <c r="D151" s="85" t="n"/>
      <c r="E151" s="85" t="n"/>
      <c r="F151" s="86" t="n"/>
      <c r="G151" s="87" t="n"/>
      <c r="H151" s="88" t="n"/>
      <c r="I151" s="89" t="n"/>
      <c r="J151" s="90" t="n"/>
      <c r="K151" s="87" t="n"/>
      <c r="L151" s="87" t="n"/>
      <c r="M151" s="91" t="n"/>
      <c r="N151" s="92" t="n"/>
      <c r="O151" s="70" t="n"/>
      <c r="P151" s="92" t="n"/>
      <c r="Q151" s="87" t="n"/>
      <c r="R151" s="79" t="str">
        <f>IF($A151="","",IF($C151="","Missing: type",IF(OR($D151="",$D151&lt;=0),"Missing: unit cost",IF($E151="","Missing: unit price",IF($F151="","Missing: daily sales",IF($K151="","Missing: on hand",IF($N151="","Missing: production days",IF($O151="","Missing: freight mode",IF(ISNA(MATCH($O151,Setup!$B$25:$B$29,0)),"Unknown freight mode",IF(AND($L151&lt;&gt;"",$L151&gt;0,$M151=""),"Missing: on-order arrival date","OK"))))))))))</f>
        <v/>
      </c>
      <c r="S151" s="78" t="str">
        <f>IF($R151&lt;&gt;"OK","",IF($G151="","",ROUND($G151/IF(OR($H151="",$H151&lt;=0),4,$H151)*4,0)))</f>
        <v/>
      </c>
      <c r="T151" s="78" t="str">
        <f>IF($R151&lt;&gt;"OK","",ROUND(IF($G151="",$F151*4*Setup!$C$19,$G151/IF(OR($H151="",$H151&lt;=0),4,$H151)*4*(1+IF($I151="",Setup!$C$16,$I151)))*IF($J151="",1,$J151),0))</f>
        <v/>
      </c>
      <c r="U151" s="78" t="str">
        <f>IF($R151&lt;&gt;"OK","",ROUND($T151*Setup!$C$17,0))</f>
        <v/>
      </c>
      <c r="V151" s="78" t="str">
        <f>IF($R151&lt;&gt;"OK","",ROUND($T151*Setup!$C$18,0))</f>
        <v/>
      </c>
      <c r="W151" s="78" t="str">
        <f>IF($R151&lt;&gt;"OK","",IF($C151="Evergreen",$V151,IF($C151="Seasonal or new",$U151,$T151)))</f>
        <v/>
      </c>
      <c r="X151" s="78" t="str">
        <f>IF($R151&lt;&gt;"OK","",ROUND(($F151*MAX(0,MIN(Setup!$C$13+1,(Setup!$C$5-Setup!$C$7))-Setup!$C$4)+$F151*Setup!$C$8*MAX(0,MIN(Setup!$C$13+1,Setup!$C$5)-MAX((Setup!$C$5-Setup!$C$7),Setup!$C$4))+$W151/4*MAX(0,MIN(Setup!$C$13+1,Setup!$C$5+4)-MAX(Setup!$C$5,Setup!$C$4))+$F151*Setup!$C$14*MAX(0,Setup!$C$13+1-MAX(Setup!$C$5+4,Setup!$C$4))),0))</f>
        <v/>
      </c>
      <c r="Y151" s="78" t="str">
        <f>IF($R151&lt;&gt;"OK","",ROUND($F151*Setup!$C$15,0))</f>
        <v/>
      </c>
      <c r="Z151" s="78" t="str">
        <f>IF($R151&lt;&gt;"OK","",IF(AND($L151&lt;&gt;"",$L151&gt;0),IF($M151&lt;=Setup!$C$13,$L151,0),0))</f>
        <v/>
      </c>
      <c r="AA151" s="78" t="str">
        <f>IF($R151&lt;&gt;"OK","",MAX(0,$X151+$Y151-$K151-$Z151))</f>
        <v/>
      </c>
      <c r="AB151" s="78" t="str">
        <f>IF($R151&lt;&gt;"OK","",IF($AA151=0,0,CEILING(MAX($AA151,IF($Q151="",0,$Q151)),IF(OR($P151="",$P151&lt;=0),1,$P151))))</f>
        <v/>
      </c>
      <c r="AC151" s="78" t="str">
        <f>IF($R151&lt;&gt;"OK","",$AB151*$D151)</f>
        <v/>
      </c>
      <c r="AD151" s="93" t="str">
        <f>IF($R151&lt;&gt;"OK","",INDEX(Setup!$D$25:$D$29,MATCH($O151,Setup!$B$25:$B$29,0)))</f>
        <v/>
      </c>
      <c r="AE151" s="93" t="str">
        <f>IF($R151&lt;&gt;"OK","",$AD151-$N151)</f>
        <v/>
      </c>
      <c r="AF151" s="79" t="str">
        <f>IF($R151&lt;&gt;"OK","",IF($AB151=0,"No order needed",IF($AE151&gt;=$AS151,"Order by the deadline",IF(AND($O151&lt;&gt;"Domestic",Setup!$D$27-$N151&gt;=$AS151),"Late by this mode: fly it",IF(Setup!$D$28-$N151&gt;=$AS151,"Late: Express courier only",IF($AG151&lt;Setup!$C$5,"Tight: lands before Black Friday",IF(AND($O151&lt;&gt;"Domestic",$AT151&lt;Setup!$C$5),"Tight: by Air lands before Black Friday",IF($AS151+$N151+Setup!$C$28+Setup!$C$11&lt;Setup!$C$5,"Tight: by Express lands before Black Friday","Too late: ration"))))))))</f>
        <v/>
      </c>
      <c r="AG151" s="93" t="str">
        <f>IF($R151&lt;&gt;"OK","",IF($AB151=0,"",$AS151+$N151+INDEX(Setup!$C$25:$C$29,MATCH($O151,Setup!$B$25:$B$29,0))+Setup!$C$11))</f>
        <v/>
      </c>
      <c r="AH151" s="93" t="str">
        <f>IF($R151&lt;&gt;"OK","",IF($F151&lt;=0,"",INT(IF($K151&lt;($F151*MAX(0,(Setup!$C$5-Setup!$C$7)-Setup!$C$4)),Setup!$C$4+$K151/$F151,IF($K151&lt;($F151*MAX(0,(Setup!$C$5-Setup!$C$7)-Setup!$C$4))+($F151*Setup!$C$8*MAX(0,Setup!$C$5-MAX((Setup!$C$5-Setup!$C$7),Setup!$C$4))),MAX((Setup!$C$5-Setup!$C$7),Setup!$C$4)+($K151-($F151*MAX(0,(Setup!$C$5-Setup!$C$7)-Setup!$C$4)))/($F151*Setup!$C$8),IF(AND($W151&gt;0,$K151&lt;($F151*MAX(0,(Setup!$C$5-Setup!$C$7)-Setup!$C$4))+($F151*Setup!$C$8*MAX(0,Setup!$C$5-MAX((Setup!$C$5-Setup!$C$7),Setup!$C$4)))+($W151/4*MAX(0,Setup!$C$5+4-MAX(Setup!$C$5,Setup!$C$4)))),MAX(Setup!$C$5,Setup!$C$4)+($K151-($F151*MAX(0,(Setup!$C$5-Setup!$C$7)-Setup!$C$4))-($F151*Setup!$C$8*MAX(0,Setup!$C$5-MAX((Setup!$C$5-Setup!$C$7),Setup!$C$4))))/($W151/4),MAX(Setup!$C$5+4,Setup!$C$4)+($K151-($F151*MAX(0,(Setup!$C$5-Setup!$C$7)-Setup!$C$4))-($F151*Setup!$C$8*MAX(0,Setup!$C$5-MAX((Setup!$C$5-Setup!$C$7),Setup!$C$4)))-($W151/4*MAX(0,Setup!$C$5+4-MAX(Setup!$C$5,Setup!$C$4))))/($F151*Setup!$C$14)))))))</f>
        <v/>
      </c>
      <c r="AI151" s="79" t="str">
        <f>IF($R151&lt;&gt;"OK","",IF(AND($L151&lt;&gt;"",$L151&gt;0,ISNUMBER($AH151),$M151&gt;$AH151),"Runs out before the incoming delivery arrives",IF($AB151=0,"OK",IF($K151+IF(AND($L151&lt;&gt;"",$L151&gt;0),IF($M151&lt;=$AG151,$L151,0),0)&lt;($F151*MAX(0,MIN($AG151,(Setup!$C$5-Setup!$C$7))-Setup!$C$4)+$F151*Setup!$C$8*MAX(0,MIN($AG151,Setup!$C$5)-MAX((Setup!$C$5-Setup!$C$7),Setup!$C$4))+$W151/4*MAX(0,MIN($AG151,Setup!$C$5+4)-MAX(Setup!$C$5,Setup!$C$4))+$F151*Setup!$C$14*MAX(0,$AG151-MAX(Setup!$C$5+4,Setup!$C$4))),"Runs out before this order can land","OK"))))</f>
        <v/>
      </c>
      <c r="AJ151" s="78" t="str">
        <f>IF($R151&lt;&gt;"OK","",IF($AB151=0,0,IF($AL151="Too slow: send it all fast",$AB151,$AR151)))</f>
        <v/>
      </c>
      <c r="AK151" s="78" t="str">
        <f>IF($R151&lt;&gt;"OK","",$AB151-$AJ151)</f>
        <v/>
      </c>
      <c r="AL151" s="78" t="str">
        <f>IF($R151&lt;&gt;"OK","",IF($AB151=0,"",IF($AB151-$AR151=0,"Nothing left over",IF($O151="Domestic",IF($AG151&lt;=Setup!$C$6+Setup!$C$20+1,"Later units can go by Domestic","Too slow: send it all fast"),IF($AS151+$N151+Setup!$C$25+Setup!$C$11&lt;=Setup!$C$6+Setup!$C$20+1,"Later units can go by Ocean long",IF($AS151+$N151+Setup!$C$26+Setup!$C$11&lt;=Setup!$C$6+Setup!$C$20+1,"Later units can go by Ocean short",IF($AS151+$N151+Setup!$C$27+Setup!$C$11&lt;=Setup!$C$6+Setup!$C$20+1,"Later units can go by Air",IF($AS151+$N151+Setup!$C$28+Setup!$C$11&lt;=Setup!$C$6+Setup!$C$20+1,"Later units can go by Express","Too slow: send it all fast"))))))))</f>
        <v/>
      </c>
      <c r="AM151" s="94" t="str">
        <f>IF($R151&lt;&gt;"OK","",$E151-$D151)</f>
        <v/>
      </c>
      <c r="AN151" s="95" t="str">
        <f>IF($R151&lt;&gt;"OK","",($E151-$D151)/$D151)</f>
        <v/>
      </c>
      <c r="AO151" s="95" t="str">
        <f>IF($R151&lt;&gt;"OK","",IF($AB151&gt;0,$AN151+IF($C151="Evergreen",1000,0),""))</f>
        <v/>
      </c>
      <c r="AP151" s="78" t="str">
        <f>IF(OR($R151&lt;&gt;"OK",$AO151=""),"",COUNTIF($AO$6:$AO$205,"&gt;"&amp;$AO151)+COUNTIF($AO$6:$AO151,$AO151))</f>
        <v/>
      </c>
      <c r="AQ151" s="78" t="str">
        <f>IF(OR($R151&lt;&gt;"OK",$AP151=""),"",INDEX('Buy list'!$G$5:$G$204,$AP151))</f>
        <v/>
      </c>
      <c r="AR151" s="78" t="str">
        <f>IF($R151&lt;&gt;"OK","",IF($AB151=0,0,MIN($AB151,CEILING(MAX(0,($F151*MAX(0,MIN((Setup!$C$6+1+Setup!$C$20),(Setup!$C$5-Setup!$C$7))-Setup!$C$4)+$F151*Setup!$C$8*MAX(0,MIN((Setup!$C$6+1+Setup!$C$20),Setup!$C$5)-MAX((Setup!$C$5-Setup!$C$7),Setup!$C$4))+$W151/4*MAX(0,MIN((Setup!$C$6+1+Setup!$C$20),Setup!$C$5+4)-MAX(Setup!$C$5,Setup!$C$4))+$F151*Setup!$C$14*MAX(0,(Setup!$C$6+1+Setup!$C$20)-MAX(Setup!$C$5+4,Setup!$C$4)))+$Y151-$K151-IF(AND($L151&lt;&gt;"",$L151&gt;0),IF($M151&lt;=Setup!$C$10,$L151,0),0)),IF(OR($P151="",$P151&lt;=0),1,$P151)))))</f>
        <v/>
      </c>
      <c r="AS151" s="96" t="str">
        <f>IF($R151&lt;&gt;"OK","",IF(AND($O151&lt;&gt;"Domestic",ISNUMBER(Setup!$C$22),Setup!$C$22&gt;Setup!$C$4),Setup!$C$22,Setup!$C$4))</f>
        <v/>
      </c>
      <c r="AT151" s="96" t="str">
        <f>IF($R151&lt;&gt;"OK","",IF($AB151=0,"",IF($O151="Domestic",$AG151,$AS151+$N151+Setup!$C$27+Setup!$C$11)))</f>
        <v/>
      </c>
    </row>
    <row r="152" ht="15" customHeight="1" s="46">
      <c r="A152" s="70" t="n"/>
      <c r="B152" s="70" t="n"/>
      <c r="C152" s="70" t="n"/>
      <c r="D152" s="85" t="n"/>
      <c r="E152" s="85" t="n"/>
      <c r="F152" s="86" t="n"/>
      <c r="G152" s="87" t="n"/>
      <c r="H152" s="88" t="n"/>
      <c r="I152" s="89" t="n"/>
      <c r="J152" s="90" t="n"/>
      <c r="K152" s="87" t="n"/>
      <c r="L152" s="87" t="n"/>
      <c r="M152" s="91" t="n"/>
      <c r="N152" s="92" t="n"/>
      <c r="O152" s="70" t="n"/>
      <c r="P152" s="92" t="n"/>
      <c r="Q152" s="87" t="n"/>
      <c r="R152" s="79" t="str">
        <f>IF($A152="","",IF($C152="","Missing: type",IF(OR($D152="",$D152&lt;=0),"Missing: unit cost",IF($E152="","Missing: unit price",IF($F152="","Missing: daily sales",IF($K152="","Missing: on hand",IF($N152="","Missing: production days",IF($O152="","Missing: freight mode",IF(ISNA(MATCH($O152,Setup!$B$25:$B$29,0)),"Unknown freight mode",IF(AND($L152&lt;&gt;"",$L152&gt;0,$M152=""),"Missing: on-order arrival date","OK"))))))))))</f>
        <v/>
      </c>
      <c r="S152" s="78" t="str">
        <f>IF($R152&lt;&gt;"OK","",IF($G152="","",ROUND($G152/IF(OR($H152="",$H152&lt;=0),4,$H152)*4,0)))</f>
        <v/>
      </c>
      <c r="T152" s="78" t="str">
        <f>IF($R152&lt;&gt;"OK","",ROUND(IF($G152="",$F152*4*Setup!$C$19,$G152/IF(OR($H152="",$H152&lt;=0),4,$H152)*4*(1+IF($I152="",Setup!$C$16,$I152)))*IF($J152="",1,$J152),0))</f>
        <v/>
      </c>
      <c r="U152" s="78" t="str">
        <f>IF($R152&lt;&gt;"OK","",ROUND($T152*Setup!$C$17,0))</f>
        <v/>
      </c>
      <c r="V152" s="78" t="str">
        <f>IF($R152&lt;&gt;"OK","",ROUND($T152*Setup!$C$18,0))</f>
        <v/>
      </c>
      <c r="W152" s="78" t="str">
        <f>IF($R152&lt;&gt;"OK","",IF($C152="Evergreen",$V152,IF($C152="Seasonal or new",$U152,$T152)))</f>
        <v/>
      </c>
      <c r="X152" s="78" t="str">
        <f>IF($R152&lt;&gt;"OK","",ROUND(($F152*MAX(0,MIN(Setup!$C$13+1,(Setup!$C$5-Setup!$C$7))-Setup!$C$4)+$F152*Setup!$C$8*MAX(0,MIN(Setup!$C$13+1,Setup!$C$5)-MAX((Setup!$C$5-Setup!$C$7),Setup!$C$4))+$W152/4*MAX(0,MIN(Setup!$C$13+1,Setup!$C$5+4)-MAX(Setup!$C$5,Setup!$C$4))+$F152*Setup!$C$14*MAX(0,Setup!$C$13+1-MAX(Setup!$C$5+4,Setup!$C$4))),0))</f>
        <v/>
      </c>
      <c r="Y152" s="78" t="str">
        <f>IF($R152&lt;&gt;"OK","",ROUND($F152*Setup!$C$15,0))</f>
        <v/>
      </c>
      <c r="Z152" s="78" t="str">
        <f>IF($R152&lt;&gt;"OK","",IF(AND($L152&lt;&gt;"",$L152&gt;0),IF($M152&lt;=Setup!$C$13,$L152,0),0))</f>
        <v/>
      </c>
      <c r="AA152" s="78" t="str">
        <f>IF($R152&lt;&gt;"OK","",MAX(0,$X152+$Y152-$K152-$Z152))</f>
        <v/>
      </c>
      <c r="AB152" s="78" t="str">
        <f>IF($R152&lt;&gt;"OK","",IF($AA152=0,0,CEILING(MAX($AA152,IF($Q152="",0,$Q152)),IF(OR($P152="",$P152&lt;=0),1,$P152))))</f>
        <v/>
      </c>
      <c r="AC152" s="78" t="str">
        <f>IF($R152&lt;&gt;"OK","",$AB152*$D152)</f>
        <v/>
      </c>
      <c r="AD152" s="93" t="str">
        <f>IF($R152&lt;&gt;"OK","",INDEX(Setup!$D$25:$D$29,MATCH($O152,Setup!$B$25:$B$29,0)))</f>
        <v/>
      </c>
      <c r="AE152" s="93" t="str">
        <f>IF($R152&lt;&gt;"OK","",$AD152-$N152)</f>
        <v/>
      </c>
      <c r="AF152" s="79" t="str">
        <f>IF($R152&lt;&gt;"OK","",IF($AB152=0,"No order needed",IF($AE152&gt;=$AS152,"Order by the deadline",IF(AND($O152&lt;&gt;"Domestic",Setup!$D$27-$N152&gt;=$AS152),"Late by this mode: fly it",IF(Setup!$D$28-$N152&gt;=$AS152,"Late: Express courier only",IF($AG152&lt;Setup!$C$5,"Tight: lands before Black Friday",IF(AND($O152&lt;&gt;"Domestic",$AT152&lt;Setup!$C$5),"Tight: by Air lands before Black Friday",IF($AS152+$N152+Setup!$C$28+Setup!$C$11&lt;Setup!$C$5,"Tight: by Express lands before Black Friday","Too late: ration"))))))))</f>
        <v/>
      </c>
      <c r="AG152" s="93" t="str">
        <f>IF($R152&lt;&gt;"OK","",IF($AB152=0,"",$AS152+$N152+INDEX(Setup!$C$25:$C$29,MATCH($O152,Setup!$B$25:$B$29,0))+Setup!$C$11))</f>
        <v/>
      </c>
      <c r="AH152" s="93" t="str">
        <f>IF($R152&lt;&gt;"OK","",IF($F152&lt;=0,"",INT(IF($K152&lt;($F152*MAX(0,(Setup!$C$5-Setup!$C$7)-Setup!$C$4)),Setup!$C$4+$K152/$F152,IF($K152&lt;($F152*MAX(0,(Setup!$C$5-Setup!$C$7)-Setup!$C$4))+($F152*Setup!$C$8*MAX(0,Setup!$C$5-MAX((Setup!$C$5-Setup!$C$7),Setup!$C$4))),MAX((Setup!$C$5-Setup!$C$7),Setup!$C$4)+($K152-($F152*MAX(0,(Setup!$C$5-Setup!$C$7)-Setup!$C$4)))/($F152*Setup!$C$8),IF(AND($W152&gt;0,$K152&lt;($F152*MAX(0,(Setup!$C$5-Setup!$C$7)-Setup!$C$4))+($F152*Setup!$C$8*MAX(0,Setup!$C$5-MAX((Setup!$C$5-Setup!$C$7),Setup!$C$4)))+($W152/4*MAX(0,Setup!$C$5+4-MAX(Setup!$C$5,Setup!$C$4)))),MAX(Setup!$C$5,Setup!$C$4)+($K152-($F152*MAX(0,(Setup!$C$5-Setup!$C$7)-Setup!$C$4))-($F152*Setup!$C$8*MAX(0,Setup!$C$5-MAX((Setup!$C$5-Setup!$C$7),Setup!$C$4))))/($W152/4),MAX(Setup!$C$5+4,Setup!$C$4)+($K152-($F152*MAX(0,(Setup!$C$5-Setup!$C$7)-Setup!$C$4))-($F152*Setup!$C$8*MAX(0,Setup!$C$5-MAX((Setup!$C$5-Setup!$C$7),Setup!$C$4)))-($W152/4*MAX(0,Setup!$C$5+4-MAX(Setup!$C$5,Setup!$C$4))))/($F152*Setup!$C$14)))))))</f>
        <v/>
      </c>
      <c r="AI152" s="79" t="str">
        <f>IF($R152&lt;&gt;"OK","",IF(AND($L152&lt;&gt;"",$L152&gt;0,ISNUMBER($AH152),$M152&gt;$AH152),"Runs out before the incoming delivery arrives",IF($AB152=0,"OK",IF($K152+IF(AND($L152&lt;&gt;"",$L152&gt;0),IF($M152&lt;=$AG152,$L152,0),0)&lt;($F152*MAX(0,MIN($AG152,(Setup!$C$5-Setup!$C$7))-Setup!$C$4)+$F152*Setup!$C$8*MAX(0,MIN($AG152,Setup!$C$5)-MAX((Setup!$C$5-Setup!$C$7),Setup!$C$4))+$W152/4*MAX(0,MIN($AG152,Setup!$C$5+4)-MAX(Setup!$C$5,Setup!$C$4))+$F152*Setup!$C$14*MAX(0,$AG152-MAX(Setup!$C$5+4,Setup!$C$4))),"Runs out before this order can land","OK"))))</f>
        <v/>
      </c>
      <c r="AJ152" s="78" t="str">
        <f>IF($R152&lt;&gt;"OK","",IF($AB152=0,0,IF($AL152="Too slow: send it all fast",$AB152,$AR152)))</f>
        <v/>
      </c>
      <c r="AK152" s="78" t="str">
        <f>IF($R152&lt;&gt;"OK","",$AB152-$AJ152)</f>
        <v/>
      </c>
      <c r="AL152" s="78" t="str">
        <f>IF($R152&lt;&gt;"OK","",IF($AB152=0,"",IF($AB152-$AR152=0,"Nothing left over",IF($O152="Domestic",IF($AG152&lt;=Setup!$C$6+Setup!$C$20+1,"Later units can go by Domestic","Too slow: send it all fast"),IF($AS152+$N152+Setup!$C$25+Setup!$C$11&lt;=Setup!$C$6+Setup!$C$20+1,"Later units can go by Ocean long",IF($AS152+$N152+Setup!$C$26+Setup!$C$11&lt;=Setup!$C$6+Setup!$C$20+1,"Later units can go by Ocean short",IF($AS152+$N152+Setup!$C$27+Setup!$C$11&lt;=Setup!$C$6+Setup!$C$20+1,"Later units can go by Air",IF($AS152+$N152+Setup!$C$28+Setup!$C$11&lt;=Setup!$C$6+Setup!$C$20+1,"Later units can go by Express","Too slow: send it all fast"))))))))</f>
        <v/>
      </c>
      <c r="AM152" s="94" t="str">
        <f>IF($R152&lt;&gt;"OK","",$E152-$D152)</f>
        <v/>
      </c>
      <c r="AN152" s="95" t="str">
        <f>IF($R152&lt;&gt;"OK","",($E152-$D152)/$D152)</f>
        <v/>
      </c>
      <c r="AO152" s="95" t="str">
        <f>IF($R152&lt;&gt;"OK","",IF($AB152&gt;0,$AN152+IF($C152="Evergreen",1000,0),""))</f>
        <v/>
      </c>
      <c r="AP152" s="78" t="str">
        <f>IF(OR($R152&lt;&gt;"OK",$AO152=""),"",COUNTIF($AO$6:$AO$205,"&gt;"&amp;$AO152)+COUNTIF($AO$6:$AO152,$AO152))</f>
        <v/>
      </c>
      <c r="AQ152" s="78" t="str">
        <f>IF(OR($R152&lt;&gt;"OK",$AP152=""),"",INDEX('Buy list'!$G$5:$G$204,$AP152))</f>
        <v/>
      </c>
      <c r="AR152" s="78" t="str">
        <f>IF($R152&lt;&gt;"OK","",IF($AB152=0,0,MIN($AB152,CEILING(MAX(0,($F152*MAX(0,MIN((Setup!$C$6+1+Setup!$C$20),(Setup!$C$5-Setup!$C$7))-Setup!$C$4)+$F152*Setup!$C$8*MAX(0,MIN((Setup!$C$6+1+Setup!$C$20),Setup!$C$5)-MAX((Setup!$C$5-Setup!$C$7),Setup!$C$4))+$W152/4*MAX(0,MIN((Setup!$C$6+1+Setup!$C$20),Setup!$C$5+4)-MAX(Setup!$C$5,Setup!$C$4))+$F152*Setup!$C$14*MAX(0,(Setup!$C$6+1+Setup!$C$20)-MAX(Setup!$C$5+4,Setup!$C$4)))+$Y152-$K152-IF(AND($L152&lt;&gt;"",$L152&gt;0),IF($M152&lt;=Setup!$C$10,$L152,0),0)),IF(OR($P152="",$P152&lt;=0),1,$P152)))))</f>
        <v/>
      </c>
      <c r="AS152" s="96" t="str">
        <f>IF($R152&lt;&gt;"OK","",IF(AND($O152&lt;&gt;"Domestic",ISNUMBER(Setup!$C$22),Setup!$C$22&gt;Setup!$C$4),Setup!$C$22,Setup!$C$4))</f>
        <v/>
      </c>
      <c r="AT152" s="96" t="str">
        <f>IF($R152&lt;&gt;"OK","",IF($AB152=0,"",IF($O152="Domestic",$AG152,$AS152+$N152+Setup!$C$27+Setup!$C$11)))</f>
        <v/>
      </c>
    </row>
    <row r="153" ht="15" customHeight="1" s="46">
      <c r="A153" s="70" t="n"/>
      <c r="B153" s="70" t="n"/>
      <c r="C153" s="70" t="n"/>
      <c r="D153" s="85" t="n"/>
      <c r="E153" s="85" t="n"/>
      <c r="F153" s="86" t="n"/>
      <c r="G153" s="87" t="n"/>
      <c r="H153" s="88" t="n"/>
      <c r="I153" s="89" t="n"/>
      <c r="J153" s="90" t="n"/>
      <c r="K153" s="87" t="n"/>
      <c r="L153" s="87" t="n"/>
      <c r="M153" s="91" t="n"/>
      <c r="N153" s="92" t="n"/>
      <c r="O153" s="70" t="n"/>
      <c r="P153" s="92" t="n"/>
      <c r="Q153" s="87" t="n"/>
      <c r="R153" s="79" t="str">
        <f>IF($A153="","",IF($C153="","Missing: type",IF(OR($D153="",$D153&lt;=0),"Missing: unit cost",IF($E153="","Missing: unit price",IF($F153="","Missing: daily sales",IF($K153="","Missing: on hand",IF($N153="","Missing: production days",IF($O153="","Missing: freight mode",IF(ISNA(MATCH($O153,Setup!$B$25:$B$29,0)),"Unknown freight mode",IF(AND($L153&lt;&gt;"",$L153&gt;0,$M153=""),"Missing: on-order arrival date","OK"))))))))))</f>
        <v/>
      </c>
      <c r="S153" s="78" t="str">
        <f>IF($R153&lt;&gt;"OK","",IF($G153="","",ROUND($G153/IF(OR($H153="",$H153&lt;=0),4,$H153)*4,0)))</f>
        <v/>
      </c>
      <c r="T153" s="78" t="str">
        <f>IF($R153&lt;&gt;"OK","",ROUND(IF($G153="",$F153*4*Setup!$C$19,$G153/IF(OR($H153="",$H153&lt;=0),4,$H153)*4*(1+IF($I153="",Setup!$C$16,$I153)))*IF($J153="",1,$J153),0))</f>
        <v/>
      </c>
      <c r="U153" s="78" t="str">
        <f>IF($R153&lt;&gt;"OK","",ROUND($T153*Setup!$C$17,0))</f>
        <v/>
      </c>
      <c r="V153" s="78" t="str">
        <f>IF($R153&lt;&gt;"OK","",ROUND($T153*Setup!$C$18,0))</f>
        <v/>
      </c>
      <c r="W153" s="78" t="str">
        <f>IF($R153&lt;&gt;"OK","",IF($C153="Evergreen",$V153,IF($C153="Seasonal or new",$U153,$T153)))</f>
        <v/>
      </c>
      <c r="X153" s="78" t="str">
        <f>IF($R153&lt;&gt;"OK","",ROUND(($F153*MAX(0,MIN(Setup!$C$13+1,(Setup!$C$5-Setup!$C$7))-Setup!$C$4)+$F153*Setup!$C$8*MAX(0,MIN(Setup!$C$13+1,Setup!$C$5)-MAX((Setup!$C$5-Setup!$C$7),Setup!$C$4))+$W153/4*MAX(0,MIN(Setup!$C$13+1,Setup!$C$5+4)-MAX(Setup!$C$5,Setup!$C$4))+$F153*Setup!$C$14*MAX(0,Setup!$C$13+1-MAX(Setup!$C$5+4,Setup!$C$4))),0))</f>
        <v/>
      </c>
      <c r="Y153" s="78" t="str">
        <f>IF($R153&lt;&gt;"OK","",ROUND($F153*Setup!$C$15,0))</f>
        <v/>
      </c>
      <c r="Z153" s="78" t="str">
        <f>IF($R153&lt;&gt;"OK","",IF(AND($L153&lt;&gt;"",$L153&gt;0),IF($M153&lt;=Setup!$C$13,$L153,0),0))</f>
        <v/>
      </c>
      <c r="AA153" s="78" t="str">
        <f>IF($R153&lt;&gt;"OK","",MAX(0,$X153+$Y153-$K153-$Z153))</f>
        <v/>
      </c>
      <c r="AB153" s="78" t="str">
        <f>IF($R153&lt;&gt;"OK","",IF($AA153=0,0,CEILING(MAX($AA153,IF($Q153="",0,$Q153)),IF(OR($P153="",$P153&lt;=0),1,$P153))))</f>
        <v/>
      </c>
      <c r="AC153" s="78" t="str">
        <f>IF($R153&lt;&gt;"OK","",$AB153*$D153)</f>
        <v/>
      </c>
      <c r="AD153" s="93" t="str">
        <f>IF($R153&lt;&gt;"OK","",INDEX(Setup!$D$25:$D$29,MATCH($O153,Setup!$B$25:$B$29,0)))</f>
        <v/>
      </c>
      <c r="AE153" s="93" t="str">
        <f>IF($R153&lt;&gt;"OK","",$AD153-$N153)</f>
        <v/>
      </c>
      <c r="AF153" s="79" t="str">
        <f>IF($R153&lt;&gt;"OK","",IF($AB153=0,"No order needed",IF($AE153&gt;=$AS153,"Order by the deadline",IF(AND($O153&lt;&gt;"Domestic",Setup!$D$27-$N153&gt;=$AS153),"Late by this mode: fly it",IF(Setup!$D$28-$N153&gt;=$AS153,"Late: Express courier only",IF($AG153&lt;Setup!$C$5,"Tight: lands before Black Friday",IF(AND($O153&lt;&gt;"Domestic",$AT153&lt;Setup!$C$5),"Tight: by Air lands before Black Friday",IF($AS153+$N153+Setup!$C$28+Setup!$C$11&lt;Setup!$C$5,"Tight: by Express lands before Black Friday","Too late: ration"))))))))</f>
        <v/>
      </c>
      <c r="AG153" s="93" t="str">
        <f>IF($R153&lt;&gt;"OK","",IF($AB153=0,"",$AS153+$N153+INDEX(Setup!$C$25:$C$29,MATCH($O153,Setup!$B$25:$B$29,0))+Setup!$C$11))</f>
        <v/>
      </c>
      <c r="AH153" s="93" t="str">
        <f>IF($R153&lt;&gt;"OK","",IF($F153&lt;=0,"",INT(IF($K153&lt;($F153*MAX(0,(Setup!$C$5-Setup!$C$7)-Setup!$C$4)),Setup!$C$4+$K153/$F153,IF($K153&lt;($F153*MAX(0,(Setup!$C$5-Setup!$C$7)-Setup!$C$4))+($F153*Setup!$C$8*MAX(0,Setup!$C$5-MAX((Setup!$C$5-Setup!$C$7),Setup!$C$4))),MAX((Setup!$C$5-Setup!$C$7),Setup!$C$4)+($K153-($F153*MAX(0,(Setup!$C$5-Setup!$C$7)-Setup!$C$4)))/($F153*Setup!$C$8),IF(AND($W153&gt;0,$K153&lt;($F153*MAX(0,(Setup!$C$5-Setup!$C$7)-Setup!$C$4))+($F153*Setup!$C$8*MAX(0,Setup!$C$5-MAX((Setup!$C$5-Setup!$C$7),Setup!$C$4)))+($W153/4*MAX(0,Setup!$C$5+4-MAX(Setup!$C$5,Setup!$C$4)))),MAX(Setup!$C$5,Setup!$C$4)+($K153-($F153*MAX(0,(Setup!$C$5-Setup!$C$7)-Setup!$C$4))-($F153*Setup!$C$8*MAX(0,Setup!$C$5-MAX((Setup!$C$5-Setup!$C$7),Setup!$C$4))))/($W153/4),MAX(Setup!$C$5+4,Setup!$C$4)+($K153-($F153*MAX(0,(Setup!$C$5-Setup!$C$7)-Setup!$C$4))-($F153*Setup!$C$8*MAX(0,Setup!$C$5-MAX((Setup!$C$5-Setup!$C$7),Setup!$C$4)))-($W153/4*MAX(0,Setup!$C$5+4-MAX(Setup!$C$5,Setup!$C$4))))/($F153*Setup!$C$14)))))))</f>
        <v/>
      </c>
      <c r="AI153" s="79" t="str">
        <f>IF($R153&lt;&gt;"OK","",IF(AND($L153&lt;&gt;"",$L153&gt;0,ISNUMBER($AH153),$M153&gt;$AH153),"Runs out before the incoming delivery arrives",IF($AB153=0,"OK",IF($K153+IF(AND($L153&lt;&gt;"",$L153&gt;0),IF($M153&lt;=$AG153,$L153,0),0)&lt;($F153*MAX(0,MIN($AG153,(Setup!$C$5-Setup!$C$7))-Setup!$C$4)+$F153*Setup!$C$8*MAX(0,MIN($AG153,Setup!$C$5)-MAX((Setup!$C$5-Setup!$C$7),Setup!$C$4))+$W153/4*MAX(0,MIN($AG153,Setup!$C$5+4)-MAX(Setup!$C$5,Setup!$C$4))+$F153*Setup!$C$14*MAX(0,$AG153-MAX(Setup!$C$5+4,Setup!$C$4))),"Runs out before this order can land","OK"))))</f>
        <v/>
      </c>
      <c r="AJ153" s="78" t="str">
        <f>IF($R153&lt;&gt;"OK","",IF($AB153=0,0,IF($AL153="Too slow: send it all fast",$AB153,$AR153)))</f>
        <v/>
      </c>
      <c r="AK153" s="78" t="str">
        <f>IF($R153&lt;&gt;"OK","",$AB153-$AJ153)</f>
        <v/>
      </c>
      <c r="AL153" s="78" t="str">
        <f>IF($R153&lt;&gt;"OK","",IF($AB153=0,"",IF($AB153-$AR153=0,"Nothing left over",IF($O153="Domestic",IF($AG153&lt;=Setup!$C$6+Setup!$C$20+1,"Later units can go by Domestic","Too slow: send it all fast"),IF($AS153+$N153+Setup!$C$25+Setup!$C$11&lt;=Setup!$C$6+Setup!$C$20+1,"Later units can go by Ocean long",IF($AS153+$N153+Setup!$C$26+Setup!$C$11&lt;=Setup!$C$6+Setup!$C$20+1,"Later units can go by Ocean short",IF($AS153+$N153+Setup!$C$27+Setup!$C$11&lt;=Setup!$C$6+Setup!$C$20+1,"Later units can go by Air",IF($AS153+$N153+Setup!$C$28+Setup!$C$11&lt;=Setup!$C$6+Setup!$C$20+1,"Later units can go by Express","Too slow: send it all fast"))))))))</f>
        <v/>
      </c>
      <c r="AM153" s="94" t="str">
        <f>IF($R153&lt;&gt;"OK","",$E153-$D153)</f>
        <v/>
      </c>
      <c r="AN153" s="95" t="str">
        <f>IF($R153&lt;&gt;"OK","",($E153-$D153)/$D153)</f>
        <v/>
      </c>
      <c r="AO153" s="95" t="str">
        <f>IF($R153&lt;&gt;"OK","",IF($AB153&gt;0,$AN153+IF($C153="Evergreen",1000,0),""))</f>
        <v/>
      </c>
      <c r="AP153" s="78" t="str">
        <f>IF(OR($R153&lt;&gt;"OK",$AO153=""),"",COUNTIF($AO$6:$AO$205,"&gt;"&amp;$AO153)+COUNTIF($AO$6:$AO153,$AO153))</f>
        <v/>
      </c>
      <c r="AQ153" s="78" t="str">
        <f>IF(OR($R153&lt;&gt;"OK",$AP153=""),"",INDEX('Buy list'!$G$5:$G$204,$AP153))</f>
        <v/>
      </c>
      <c r="AR153" s="78" t="str">
        <f>IF($R153&lt;&gt;"OK","",IF($AB153=0,0,MIN($AB153,CEILING(MAX(0,($F153*MAX(0,MIN((Setup!$C$6+1+Setup!$C$20),(Setup!$C$5-Setup!$C$7))-Setup!$C$4)+$F153*Setup!$C$8*MAX(0,MIN((Setup!$C$6+1+Setup!$C$20),Setup!$C$5)-MAX((Setup!$C$5-Setup!$C$7),Setup!$C$4))+$W153/4*MAX(0,MIN((Setup!$C$6+1+Setup!$C$20),Setup!$C$5+4)-MAX(Setup!$C$5,Setup!$C$4))+$F153*Setup!$C$14*MAX(0,(Setup!$C$6+1+Setup!$C$20)-MAX(Setup!$C$5+4,Setup!$C$4)))+$Y153-$K153-IF(AND($L153&lt;&gt;"",$L153&gt;0),IF($M153&lt;=Setup!$C$10,$L153,0),0)),IF(OR($P153="",$P153&lt;=0),1,$P153)))))</f>
        <v/>
      </c>
      <c r="AS153" s="96" t="str">
        <f>IF($R153&lt;&gt;"OK","",IF(AND($O153&lt;&gt;"Domestic",ISNUMBER(Setup!$C$22),Setup!$C$22&gt;Setup!$C$4),Setup!$C$22,Setup!$C$4))</f>
        <v/>
      </c>
      <c r="AT153" s="96" t="str">
        <f>IF($R153&lt;&gt;"OK","",IF($AB153=0,"",IF($O153="Domestic",$AG153,$AS153+$N153+Setup!$C$27+Setup!$C$11)))</f>
        <v/>
      </c>
    </row>
    <row r="154" ht="15" customHeight="1" s="46">
      <c r="A154" s="70" t="n"/>
      <c r="B154" s="70" t="n"/>
      <c r="C154" s="70" t="n"/>
      <c r="D154" s="85" t="n"/>
      <c r="E154" s="85" t="n"/>
      <c r="F154" s="86" t="n"/>
      <c r="G154" s="87" t="n"/>
      <c r="H154" s="88" t="n"/>
      <c r="I154" s="89" t="n"/>
      <c r="J154" s="90" t="n"/>
      <c r="K154" s="87" t="n"/>
      <c r="L154" s="87" t="n"/>
      <c r="M154" s="91" t="n"/>
      <c r="N154" s="92" t="n"/>
      <c r="O154" s="70" t="n"/>
      <c r="P154" s="92" t="n"/>
      <c r="Q154" s="87" t="n"/>
      <c r="R154" s="79" t="str">
        <f>IF($A154="","",IF($C154="","Missing: type",IF(OR($D154="",$D154&lt;=0),"Missing: unit cost",IF($E154="","Missing: unit price",IF($F154="","Missing: daily sales",IF($K154="","Missing: on hand",IF($N154="","Missing: production days",IF($O154="","Missing: freight mode",IF(ISNA(MATCH($O154,Setup!$B$25:$B$29,0)),"Unknown freight mode",IF(AND($L154&lt;&gt;"",$L154&gt;0,$M154=""),"Missing: on-order arrival date","OK"))))))))))</f>
        <v/>
      </c>
      <c r="S154" s="78" t="str">
        <f>IF($R154&lt;&gt;"OK","",IF($G154="","",ROUND($G154/IF(OR($H154="",$H154&lt;=0),4,$H154)*4,0)))</f>
        <v/>
      </c>
      <c r="T154" s="78" t="str">
        <f>IF($R154&lt;&gt;"OK","",ROUND(IF($G154="",$F154*4*Setup!$C$19,$G154/IF(OR($H154="",$H154&lt;=0),4,$H154)*4*(1+IF($I154="",Setup!$C$16,$I154)))*IF($J154="",1,$J154),0))</f>
        <v/>
      </c>
      <c r="U154" s="78" t="str">
        <f>IF($R154&lt;&gt;"OK","",ROUND($T154*Setup!$C$17,0))</f>
        <v/>
      </c>
      <c r="V154" s="78" t="str">
        <f>IF($R154&lt;&gt;"OK","",ROUND($T154*Setup!$C$18,0))</f>
        <v/>
      </c>
      <c r="W154" s="78" t="str">
        <f>IF($R154&lt;&gt;"OK","",IF($C154="Evergreen",$V154,IF($C154="Seasonal or new",$U154,$T154)))</f>
        <v/>
      </c>
      <c r="X154" s="78" t="str">
        <f>IF($R154&lt;&gt;"OK","",ROUND(($F154*MAX(0,MIN(Setup!$C$13+1,(Setup!$C$5-Setup!$C$7))-Setup!$C$4)+$F154*Setup!$C$8*MAX(0,MIN(Setup!$C$13+1,Setup!$C$5)-MAX((Setup!$C$5-Setup!$C$7),Setup!$C$4))+$W154/4*MAX(0,MIN(Setup!$C$13+1,Setup!$C$5+4)-MAX(Setup!$C$5,Setup!$C$4))+$F154*Setup!$C$14*MAX(0,Setup!$C$13+1-MAX(Setup!$C$5+4,Setup!$C$4))),0))</f>
        <v/>
      </c>
      <c r="Y154" s="78" t="str">
        <f>IF($R154&lt;&gt;"OK","",ROUND($F154*Setup!$C$15,0))</f>
        <v/>
      </c>
      <c r="Z154" s="78" t="str">
        <f>IF($R154&lt;&gt;"OK","",IF(AND($L154&lt;&gt;"",$L154&gt;0),IF($M154&lt;=Setup!$C$13,$L154,0),0))</f>
        <v/>
      </c>
      <c r="AA154" s="78" t="str">
        <f>IF($R154&lt;&gt;"OK","",MAX(0,$X154+$Y154-$K154-$Z154))</f>
        <v/>
      </c>
      <c r="AB154" s="78" t="str">
        <f>IF($R154&lt;&gt;"OK","",IF($AA154=0,0,CEILING(MAX($AA154,IF($Q154="",0,$Q154)),IF(OR($P154="",$P154&lt;=0),1,$P154))))</f>
        <v/>
      </c>
      <c r="AC154" s="78" t="str">
        <f>IF($R154&lt;&gt;"OK","",$AB154*$D154)</f>
        <v/>
      </c>
      <c r="AD154" s="93" t="str">
        <f>IF($R154&lt;&gt;"OK","",INDEX(Setup!$D$25:$D$29,MATCH($O154,Setup!$B$25:$B$29,0)))</f>
        <v/>
      </c>
      <c r="AE154" s="93" t="str">
        <f>IF($R154&lt;&gt;"OK","",$AD154-$N154)</f>
        <v/>
      </c>
      <c r="AF154" s="79" t="str">
        <f>IF($R154&lt;&gt;"OK","",IF($AB154=0,"No order needed",IF($AE154&gt;=$AS154,"Order by the deadline",IF(AND($O154&lt;&gt;"Domestic",Setup!$D$27-$N154&gt;=$AS154),"Late by this mode: fly it",IF(Setup!$D$28-$N154&gt;=$AS154,"Late: Express courier only",IF($AG154&lt;Setup!$C$5,"Tight: lands before Black Friday",IF(AND($O154&lt;&gt;"Domestic",$AT154&lt;Setup!$C$5),"Tight: by Air lands before Black Friday",IF($AS154+$N154+Setup!$C$28+Setup!$C$11&lt;Setup!$C$5,"Tight: by Express lands before Black Friday","Too late: ration"))))))))</f>
        <v/>
      </c>
      <c r="AG154" s="93" t="str">
        <f>IF($R154&lt;&gt;"OK","",IF($AB154=0,"",$AS154+$N154+INDEX(Setup!$C$25:$C$29,MATCH($O154,Setup!$B$25:$B$29,0))+Setup!$C$11))</f>
        <v/>
      </c>
      <c r="AH154" s="93" t="str">
        <f>IF($R154&lt;&gt;"OK","",IF($F154&lt;=0,"",INT(IF($K154&lt;($F154*MAX(0,(Setup!$C$5-Setup!$C$7)-Setup!$C$4)),Setup!$C$4+$K154/$F154,IF($K154&lt;($F154*MAX(0,(Setup!$C$5-Setup!$C$7)-Setup!$C$4))+($F154*Setup!$C$8*MAX(0,Setup!$C$5-MAX((Setup!$C$5-Setup!$C$7),Setup!$C$4))),MAX((Setup!$C$5-Setup!$C$7),Setup!$C$4)+($K154-($F154*MAX(0,(Setup!$C$5-Setup!$C$7)-Setup!$C$4)))/($F154*Setup!$C$8),IF(AND($W154&gt;0,$K154&lt;($F154*MAX(0,(Setup!$C$5-Setup!$C$7)-Setup!$C$4))+($F154*Setup!$C$8*MAX(0,Setup!$C$5-MAX((Setup!$C$5-Setup!$C$7),Setup!$C$4)))+($W154/4*MAX(0,Setup!$C$5+4-MAX(Setup!$C$5,Setup!$C$4)))),MAX(Setup!$C$5,Setup!$C$4)+($K154-($F154*MAX(0,(Setup!$C$5-Setup!$C$7)-Setup!$C$4))-($F154*Setup!$C$8*MAX(0,Setup!$C$5-MAX((Setup!$C$5-Setup!$C$7),Setup!$C$4))))/($W154/4),MAX(Setup!$C$5+4,Setup!$C$4)+($K154-($F154*MAX(0,(Setup!$C$5-Setup!$C$7)-Setup!$C$4))-($F154*Setup!$C$8*MAX(0,Setup!$C$5-MAX((Setup!$C$5-Setup!$C$7),Setup!$C$4)))-($W154/4*MAX(0,Setup!$C$5+4-MAX(Setup!$C$5,Setup!$C$4))))/($F154*Setup!$C$14)))))))</f>
        <v/>
      </c>
      <c r="AI154" s="79" t="str">
        <f>IF($R154&lt;&gt;"OK","",IF(AND($L154&lt;&gt;"",$L154&gt;0,ISNUMBER($AH154),$M154&gt;$AH154),"Runs out before the incoming delivery arrives",IF($AB154=0,"OK",IF($K154+IF(AND($L154&lt;&gt;"",$L154&gt;0),IF($M154&lt;=$AG154,$L154,0),0)&lt;($F154*MAX(0,MIN($AG154,(Setup!$C$5-Setup!$C$7))-Setup!$C$4)+$F154*Setup!$C$8*MAX(0,MIN($AG154,Setup!$C$5)-MAX((Setup!$C$5-Setup!$C$7),Setup!$C$4))+$W154/4*MAX(0,MIN($AG154,Setup!$C$5+4)-MAX(Setup!$C$5,Setup!$C$4))+$F154*Setup!$C$14*MAX(0,$AG154-MAX(Setup!$C$5+4,Setup!$C$4))),"Runs out before this order can land","OK"))))</f>
        <v/>
      </c>
      <c r="AJ154" s="78" t="str">
        <f>IF($R154&lt;&gt;"OK","",IF($AB154=0,0,IF($AL154="Too slow: send it all fast",$AB154,$AR154)))</f>
        <v/>
      </c>
      <c r="AK154" s="78" t="str">
        <f>IF($R154&lt;&gt;"OK","",$AB154-$AJ154)</f>
        <v/>
      </c>
      <c r="AL154" s="78" t="str">
        <f>IF($R154&lt;&gt;"OK","",IF($AB154=0,"",IF($AB154-$AR154=0,"Nothing left over",IF($O154="Domestic",IF($AG154&lt;=Setup!$C$6+Setup!$C$20+1,"Later units can go by Domestic","Too slow: send it all fast"),IF($AS154+$N154+Setup!$C$25+Setup!$C$11&lt;=Setup!$C$6+Setup!$C$20+1,"Later units can go by Ocean long",IF($AS154+$N154+Setup!$C$26+Setup!$C$11&lt;=Setup!$C$6+Setup!$C$20+1,"Later units can go by Ocean short",IF($AS154+$N154+Setup!$C$27+Setup!$C$11&lt;=Setup!$C$6+Setup!$C$20+1,"Later units can go by Air",IF($AS154+$N154+Setup!$C$28+Setup!$C$11&lt;=Setup!$C$6+Setup!$C$20+1,"Later units can go by Express","Too slow: send it all fast"))))))))</f>
        <v/>
      </c>
      <c r="AM154" s="94" t="str">
        <f>IF($R154&lt;&gt;"OK","",$E154-$D154)</f>
        <v/>
      </c>
      <c r="AN154" s="95" t="str">
        <f>IF($R154&lt;&gt;"OK","",($E154-$D154)/$D154)</f>
        <v/>
      </c>
      <c r="AO154" s="95" t="str">
        <f>IF($R154&lt;&gt;"OK","",IF($AB154&gt;0,$AN154+IF($C154="Evergreen",1000,0),""))</f>
        <v/>
      </c>
      <c r="AP154" s="78" t="str">
        <f>IF(OR($R154&lt;&gt;"OK",$AO154=""),"",COUNTIF($AO$6:$AO$205,"&gt;"&amp;$AO154)+COUNTIF($AO$6:$AO154,$AO154))</f>
        <v/>
      </c>
      <c r="AQ154" s="78" t="str">
        <f>IF(OR($R154&lt;&gt;"OK",$AP154=""),"",INDEX('Buy list'!$G$5:$G$204,$AP154))</f>
        <v/>
      </c>
      <c r="AR154" s="78" t="str">
        <f>IF($R154&lt;&gt;"OK","",IF($AB154=0,0,MIN($AB154,CEILING(MAX(0,($F154*MAX(0,MIN((Setup!$C$6+1+Setup!$C$20),(Setup!$C$5-Setup!$C$7))-Setup!$C$4)+$F154*Setup!$C$8*MAX(0,MIN((Setup!$C$6+1+Setup!$C$20),Setup!$C$5)-MAX((Setup!$C$5-Setup!$C$7),Setup!$C$4))+$W154/4*MAX(0,MIN((Setup!$C$6+1+Setup!$C$20),Setup!$C$5+4)-MAX(Setup!$C$5,Setup!$C$4))+$F154*Setup!$C$14*MAX(0,(Setup!$C$6+1+Setup!$C$20)-MAX(Setup!$C$5+4,Setup!$C$4)))+$Y154-$K154-IF(AND($L154&lt;&gt;"",$L154&gt;0),IF($M154&lt;=Setup!$C$10,$L154,0),0)),IF(OR($P154="",$P154&lt;=0),1,$P154)))))</f>
        <v/>
      </c>
      <c r="AS154" s="96" t="str">
        <f>IF($R154&lt;&gt;"OK","",IF(AND($O154&lt;&gt;"Domestic",ISNUMBER(Setup!$C$22),Setup!$C$22&gt;Setup!$C$4),Setup!$C$22,Setup!$C$4))</f>
        <v/>
      </c>
      <c r="AT154" s="96" t="str">
        <f>IF($R154&lt;&gt;"OK","",IF($AB154=0,"",IF($O154="Domestic",$AG154,$AS154+$N154+Setup!$C$27+Setup!$C$11)))</f>
        <v/>
      </c>
    </row>
    <row r="155" ht="15" customHeight="1" s="46">
      <c r="A155" s="70" t="n"/>
      <c r="B155" s="70" t="n"/>
      <c r="C155" s="70" t="n"/>
      <c r="D155" s="85" t="n"/>
      <c r="E155" s="85" t="n"/>
      <c r="F155" s="86" t="n"/>
      <c r="G155" s="87" t="n"/>
      <c r="H155" s="88" t="n"/>
      <c r="I155" s="89" t="n"/>
      <c r="J155" s="90" t="n"/>
      <c r="K155" s="87" t="n"/>
      <c r="L155" s="87" t="n"/>
      <c r="M155" s="91" t="n"/>
      <c r="N155" s="92" t="n"/>
      <c r="O155" s="70" t="n"/>
      <c r="P155" s="92" t="n"/>
      <c r="Q155" s="87" t="n"/>
      <c r="R155" s="79" t="str">
        <f>IF($A155="","",IF($C155="","Missing: type",IF(OR($D155="",$D155&lt;=0),"Missing: unit cost",IF($E155="","Missing: unit price",IF($F155="","Missing: daily sales",IF($K155="","Missing: on hand",IF($N155="","Missing: production days",IF($O155="","Missing: freight mode",IF(ISNA(MATCH($O155,Setup!$B$25:$B$29,0)),"Unknown freight mode",IF(AND($L155&lt;&gt;"",$L155&gt;0,$M155=""),"Missing: on-order arrival date","OK"))))))))))</f>
        <v/>
      </c>
      <c r="S155" s="78" t="str">
        <f>IF($R155&lt;&gt;"OK","",IF($G155="","",ROUND($G155/IF(OR($H155="",$H155&lt;=0),4,$H155)*4,0)))</f>
        <v/>
      </c>
      <c r="T155" s="78" t="str">
        <f>IF($R155&lt;&gt;"OK","",ROUND(IF($G155="",$F155*4*Setup!$C$19,$G155/IF(OR($H155="",$H155&lt;=0),4,$H155)*4*(1+IF($I155="",Setup!$C$16,$I155)))*IF($J155="",1,$J155),0))</f>
        <v/>
      </c>
      <c r="U155" s="78" t="str">
        <f>IF($R155&lt;&gt;"OK","",ROUND($T155*Setup!$C$17,0))</f>
        <v/>
      </c>
      <c r="V155" s="78" t="str">
        <f>IF($R155&lt;&gt;"OK","",ROUND($T155*Setup!$C$18,0))</f>
        <v/>
      </c>
      <c r="W155" s="78" t="str">
        <f>IF($R155&lt;&gt;"OK","",IF($C155="Evergreen",$V155,IF($C155="Seasonal or new",$U155,$T155)))</f>
        <v/>
      </c>
      <c r="X155" s="78" t="str">
        <f>IF($R155&lt;&gt;"OK","",ROUND(($F155*MAX(0,MIN(Setup!$C$13+1,(Setup!$C$5-Setup!$C$7))-Setup!$C$4)+$F155*Setup!$C$8*MAX(0,MIN(Setup!$C$13+1,Setup!$C$5)-MAX((Setup!$C$5-Setup!$C$7),Setup!$C$4))+$W155/4*MAX(0,MIN(Setup!$C$13+1,Setup!$C$5+4)-MAX(Setup!$C$5,Setup!$C$4))+$F155*Setup!$C$14*MAX(0,Setup!$C$13+1-MAX(Setup!$C$5+4,Setup!$C$4))),0))</f>
        <v/>
      </c>
      <c r="Y155" s="78" t="str">
        <f>IF($R155&lt;&gt;"OK","",ROUND($F155*Setup!$C$15,0))</f>
        <v/>
      </c>
      <c r="Z155" s="78" t="str">
        <f>IF($R155&lt;&gt;"OK","",IF(AND($L155&lt;&gt;"",$L155&gt;0),IF($M155&lt;=Setup!$C$13,$L155,0),0))</f>
        <v/>
      </c>
      <c r="AA155" s="78" t="str">
        <f>IF($R155&lt;&gt;"OK","",MAX(0,$X155+$Y155-$K155-$Z155))</f>
        <v/>
      </c>
      <c r="AB155" s="78" t="str">
        <f>IF($R155&lt;&gt;"OK","",IF($AA155=0,0,CEILING(MAX($AA155,IF($Q155="",0,$Q155)),IF(OR($P155="",$P155&lt;=0),1,$P155))))</f>
        <v/>
      </c>
      <c r="AC155" s="78" t="str">
        <f>IF($R155&lt;&gt;"OK","",$AB155*$D155)</f>
        <v/>
      </c>
      <c r="AD155" s="93" t="str">
        <f>IF($R155&lt;&gt;"OK","",INDEX(Setup!$D$25:$D$29,MATCH($O155,Setup!$B$25:$B$29,0)))</f>
        <v/>
      </c>
      <c r="AE155" s="93" t="str">
        <f>IF($R155&lt;&gt;"OK","",$AD155-$N155)</f>
        <v/>
      </c>
      <c r="AF155" s="79" t="str">
        <f>IF($R155&lt;&gt;"OK","",IF($AB155=0,"No order needed",IF($AE155&gt;=$AS155,"Order by the deadline",IF(AND($O155&lt;&gt;"Domestic",Setup!$D$27-$N155&gt;=$AS155),"Late by this mode: fly it",IF(Setup!$D$28-$N155&gt;=$AS155,"Late: Express courier only",IF($AG155&lt;Setup!$C$5,"Tight: lands before Black Friday",IF(AND($O155&lt;&gt;"Domestic",$AT155&lt;Setup!$C$5),"Tight: by Air lands before Black Friday",IF($AS155+$N155+Setup!$C$28+Setup!$C$11&lt;Setup!$C$5,"Tight: by Express lands before Black Friday","Too late: ration"))))))))</f>
        <v/>
      </c>
      <c r="AG155" s="93" t="str">
        <f>IF($R155&lt;&gt;"OK","",IF($AB155=0,"",$AS155+$N155+INDEX(Setup!$C$25:$C$29,MATCH($O155,Setup!$B$25:$B$29,0))+Setup!$C$11))</f>
        <v/>
      </c>
      <c r="AH155" s="93" t="str">
        <f>IF($R155&lt;&gt;"OK","",IF($F155&lt;=0,"",INT(IF($K155&lt;($F155*MAX(0,(Setup!$C$5-Setup!$C$7)-Setup!$C$4)),Setup!$C$4+$K155/$F155,IF($K155&lt;($F155*MAX(0,(Setup!$C$5-Setup!$C$7)-Setup!$C$4))+($F155*Setup!$C$8*MAX(0,Setup!$C$5-MAX((Setup!$C$5-Setup!$C$7),Setup!$C$4))),MAX((Setup!$C$5-Setup!$C$7),Setup!$C$4)+($K155-($F155*MAX(0,(Setup!$C$5-Setup!$C$7)-Setup!$C$4)))/($F155*Setup!$C$8),IF(AND($W155&gt;0,$K155&lt;($F155*MAX(0,(Setup!$C$5-Setup!$C$7)-Setup!$C$4))+($F155*Setup!$C$8*MAX(0,Setup!$C$5-MAX((Setup!$C$5-Setup!$C$7),Setup!$C$4)))+($W155/4*MAX(0,Setup!$C$5+4-MAX(Setup!$C$5,Setup!$C$4)))),MAX(Setup!$C$5,Setup!$C$4)+($K155-($F155*MAX(0,(Setup!$C$5-Setup!$C$7)-Setup!$C$4))-($F155*Setup!$C$8*MAX(0,Setup!$C$5-MAX((Setup!$C$5-Setup!$C$7),Setup!$C$4))))/($W155/4),MAX(Setup!$C$5+4,Setup!$C$4)+($K155-($F155*MAX(0,(Setup!$C$5-Setup!$C$7)-Setup!$C$4))-($F155*Setup!$C$8*MAX(0,Setup!$C$5-MAX((Setup!$C$5-Setup!$C$7),Setup!$C$4)))-($W155/4*MAX(0,Setup!$C$5+4-MAX(Setup!$C$5,Setup!$C$4))))/($F155*Setup!$C$14)))))))</f>
        <v/>
      </c>
      <c r="AI155" s="79" t="str">
        <f>IF($R155&lt;&gt;"OK","",IF(AND($L155&lt;&gt;"",$L155&gt;0,ISNUMBER($AH155),$M155&gt;$AH155),"Runs out before the incoming delivery arrives",IF($AB155=0,"OK",IF($K155+IF(AND($L155&lt;&gt;"",$L155&gt;0),IF($M155&lt;=$AG155,$L155,0),0)&lt;($F155*MAX(0,MIN($AG155,(Setup!$C$5-Setup!$C$7))-Setup!$C$4)+$F155*Setup!$C$8*MAX(0,MIN($AG155,Setup!$C$5)-MAX((Setup!$C$5-Setup!$C$7),Setup!$C$4))+$W155/4*MAX(0,MIN($AG155,Setup!$C$5+4)-MAX(Setup!$C$5,Setup!$C$4))+$F155*Setup!$C$14*MAX(0,$AG155-MAX(Setup!$C$5+4,Setup!$C$4))),"Runs out before this order can land","OK"))))</f>
        <v/>
      </c>
      <c r="AJ155" s="78" t="str">
        <f>IF($R155&lt;&gt;"OK","",IF($AB155=0,0,IF($AL155="Too slow: send it all fast",$AB155,$AR155)))</f>
        <v/>
      </c>
      <c r="AK155" s="78" t="str">
        <f>IF($R155&lt;&gt;"OK","",$AB155-$AJ155)</f>
        <v/>
      </c>
      <c r="AL155" s="78" t="str">
        <f>IF($R155&lt;&gt;"OK","",IF($AB155=0,"",IF($AB155-$AR155=0,"Nothing left over",IF($O155="Domestic",IF($AG155&lt;=Setup!$C$6+Setup!$C$20+1,"Later units can go by Domestic","Too slow: send it all fast"),IF($AS155+$N155+Setup!$C$25+Setup!$C$11&lt;=Setup!$C$6+Setup!$C$20+1,"Later units can go by Ocean long",IF($AS155+$N155+Setup!$C$26+Setup!$C$11&lt;=Setup!$C$6+Setup!$C$20+1,"Later units can go by Ocean short",IF($AS155+$N155+Setup!$C$27+Setup!$C$11&lt;=Setup!$C$6+Setup!$C$20+1,"Later units can go by Air",IF($AS155+$N155+Setup!$C$28+Setup!$C$11&lt;=Setup!$C$6+Setup!$C$20+1,"Later units can go by Express","Too slow: send it all fast"))))))))</f>
        <v/>
      </c>
      <c r="AM155" s="94" t="str">
        <f>IF($R155&lt;&gt;"OK","",$E155-$D155)</f>
        <v/>
      </c>
      <c r="AN155" s="95" t="str">
        <f>IF($R155&lt;&gt;"OK","",($E155-$D155)/$D155)</f>
        <v/>
      </c>
      <c r="AO155" s="95" t="str">
        <f>IF($R155&lt;&gt;"OK","",IF($AB155&gt;0,$AN155+IF($C155="Evergreen",1000,0),""))</f>
        <v/>
      </c>
      <c r="AP155" s="78" t="str">
        <f>IF(OR($R155&lt;&gt;"OK",$AO155=""),"",COUNTIF($AO$6:$AO$205,"&gt;"&amp;$AO155)+COUNTIF($AO$6:$AO155,$AO155))</f>
        <v/>
      </c>
      <c r="AQ155" s="78" t="str">
        <f>IF(OR($R155&lt;&gt;"OK",$AP155=""),"",INDEX('Buy list'!$G$5:$G$204,$AP155))</f>
        <v/>
      </c>
      <c r="AR155" s="78" t="str">
        <f>IF($R155&lt;&gt;"OK","",IF($AB155=0,0,MIN($AB155,CEILING(MAX(0,($F155*MAX(0,MIN((Setup!$C$6+1+Setup!$C$20),(Setup!$C$5-Setup!$C$7))-Setup!$C$4)+$F155*Setup!$C$8*MAX(0,MIN((Setup!$C$6+1+Setup!$C$20),Setup!$C$5)-MAX((Setup!$C$5-Setup!$C$7),Setup!$C$4))+$W155/4*MAX(0,MIN((Setup!$C$6+1+Setup!$C$20),Setup!$C$5+4)-MAX(Setup!$C$5,Setup!$C$4))+$F155*Setup!$C$14*MAX(0,(Setup!$C$6+1+Setup!$C$20)-MAX(Setup!$C$5+4,Setup!$C$4)))+$Y155-$K155-IF(AND($L155&lt;&gt;"",$L155&gt;0),IF($M155&lt;=Setup!$C$10,$L155,0),0)),IF(OR($P155="",$P155&lt;=0),1,$P155)))))</f>
        <v/>
      </c>
      <c r="AS155" s="96" t="str">
        <f>IF($R155&lt;&gt;"OK","",IF(AND($O155&lt;&gt;"Domestic",ISNUMBER(Setup!$C$22),Setup!$C$22&gt;Setup!$C$4),Setup!$C$22,Setup!$C$4))</f>
        <v/>
      </c>
      <c r="AT155" s="96" t="str">
        <f>IF($R155&lt;&gt;"OK","",IF($AB155=0,"",IF($O155="Domestic",$AG155,$AS155+$N155+Setup!$C$27+Setup!$C$11)))</f>
        <v/>
      </c>
    </row>
    <row r="156" ht="15" customHeight="1" s="46">
      <c r="A156" s="70" t="n"/>
      <c r="B156" s="70" t="n"/>
      <c r="C156" s="70" t="n"/>
      <c r="D156" s="85" t="n"/>
      <c r="E156" s="85" t="n"/>
      <c r="F156" s="86" t="n"/>
      <c r="G156" s="87" t="n"/>
      <c r="H156" s="88" t="n"/>
      <c r="I156" s="89" t="n"/>
      <c r="J156" s="90" t="n"/>
      <c r="K156" s="87" t="n"/>
      <c r="L156" s="87" t="n"/>
      <c r="M156" s="91" t="n"/>
      <c r="N156" s="92" t="n"/>
      <c r="O156" s="70" t="n"/>
      <c r="P156" s="92" t="n"/>
      <c r="Q156" s="87" t="n"/>
      <c r="R156" s="79" t="str">
        <f>IF($A156="","",IF($C156="","Missing: type",IF(OR($D156="",$D156&lt;=0),"Missing: unit cost",IF($E156="","Missing: unit price",IF($F156="","Missing: daily sales",IF($K156="","Missing: on hand",IF($N156="","Missing: production days",IF($O156="","Missing: freight mode",IF(ISNA(MATCH($O156,Setup!$B$25:$B$29,0)),"Unknown freight mode",IF(AND($L156&lt;&gt;"",$L156&gt;0,$M156=""),"Missing: on-order arrival date","OK"))))))))))</f>
        <v/>
      </c>
      <c r="S156" s="78" t="str">
        <f>IF($R156&lt;&gt;"OK","",IF($G156="","",ROUND($G156/IF(OR($H156="",$H156&lt;=0),4,$H156)*4,0)))</f>
        <v/>
      </c>
      <c r="T156" s="78" t="str">
        <f>IF($R156&lt;&gt;"OK","",ROUND(IF($G156="",$F156*4*Setup!$C$19,$G156/IF(OR($H156="",$H156&lt;=0),4,$H156)*4*(1+IF($I156="",Setup!$C$16,$I156)))*IF($J156="",1,$J156),0))</f>
        <v/>
      </c>
      <c r="U156" s="78" t="str">
        <f>IF($R156&lt;&gt;"OK","",ROUND($T156*Setup!$C$17,0))</f>
        <v/>
      </c>
      <c r="V156" s="78" t="str">
        <f>IF($R156&lt;&gt;"OK","",ROUND($T156*Setup!$C$18,0))</f>
        <v/>
      </c>
      <c r="W156" s="78" t="str">
        <f>IF($R156&lt;&gt;"OK","",IF($C156="Evergreen",$V156,IF($C156="Seasonal or new",$U156,$T156)))</f>
        <v/>
      </c>
      <c r="X156" s="78" t="str">
        <f>IF($R156&lt;&gt;"OK","",ROUND(($F156*MAX(0,MIN(Setup!$C$13+1,(Setup!$C$5-Setup!$C$7))-Setup!$C$4)+$F156*Setup!$C$8*MAX(0,MIN(Setup!$C$13+1,Setup!$C$5)-MAX((Setup!$C$5-Setup!$C$7),Setup!$C$4))+$W156/4*MAX(0,MIN(Setup!$C$13+1,Setup!$C$5+4)-MAX(Setup!$C$5,Setup!$C$4))+$F156*Setup!$C$14*MAX(0,Setup!$C$13+1-MAX(Setup!$C$5+4,Setup!$C$4))),0))</f>
        <v/>
      </c>
      <c r="Y156" s="78" t="str">
        <f>IF($R156&lt;&gt;"OK","",ROUND($F156*Setup!$C$15,0))</f>
        <v/>
      </c>
      <c r="Z156" s="78" t="str">
        <f>IF($R156&lt;&gt;"OK","",IF(AND($L156&lt;&gt;"",$L156&gt;0),IF($M156&lt;=Setup!$C$13,$L156,0),0))</f>
        <v/>
      </c>
      <c r="AA156" s="78" t="str">
        <f>IF($R156&lt;&gt;"OK","",MAX(0,$X156+$Y156-$K156-$Z156))</f>
        <v/>
      </c>
      <c r="AB156" s="78" t="str">
        <f>IF($R156&lt;&gt;"OK","",IF($AA156=0,0,CEILING(MAX($AA156,IF($Q156="",0,$Q156)),IF(OR($P156="",$P156&lt;=0),1,$P156))))</f>
        <v/>
      </c>
      <c r="AC156" s="78" t="str">
        <f>IF($R156&lt;&gt;"OK","",$AB156*$D156)</f>
        <v/>
      </c>
      <c r="AD156" s="93" t="str">
        <f>IF($R156&lt;&gt;"OK","",INDEX(Setup!$D$25:$D$29,MATCH($O156,Setup!$B$25:$B$29,0)))</f>
        <v/>
      </c>
      <c r="AE156" s="93" t="str">
        <f>IF($R156&lt;&gt;"OK","",$AD156-$N156)</f>
        <v/>
      </c>
      <c r="AF156" s="79" t="str">
        <f>IF($R156&lt;&gt;"OK","",IF($AB156=0,"No order needed",IF($AE156&gt;=$AS156,"Order by the deadline",IF(AND($O156&lt;&gt;"Domestic",Setup!$D$27-$N156&gt;=$AS156),"Late by this mode: fly it",IF(Setup!$D$28-$N156&gt;=$AS156,"Late: Express courier only",IF($AG156&lt;Setup!$C$5,"Tight: lands before Black Friday",IF(AND($O156&lt;&gt;"Domestic",$AT156&lt;Setup!$C$5),"Tight: by Air lands before Black Friday",IF($AS156+$N156+Setup!$C$28+Setup!$C$11&lt;Setup!$C$5,"Tight: by Express lands before Black Friday","Too late: ration"))))))))</f>
        <v/>
      </c>
      <c r="AG156" s="93" t="str">
        <f>IF($R156&lt;&gt;"OK","",IF($AB156=0,"",$AS156+$N156+INDEX(Setup!$C$25:$C$29,MATCH($O156,Setup!$B$25:$B$29,0))+Setup!$C$11))</f>
        <v/>
      </c>
      <c r="AH156" s="93" t="str">
        <f>IF($R156&lt;&gt;"OK","",IF($F156&lt;=0,"",INT(IF($K156&lt;($F156*MAX(0,(Setup!$C$5-Setup!$C$7)-Setup!$C$4)),Setup!$C$4+$K156/$F156,IF($K156&lt;($F156*MAX(0,(Setup!$C$5-Setup!$C$7)-Setup!$C$4))+($F156*Setup!$C$8*MAX(0,Setup!$C$5-MAX((Setup!$C$5-Setup!$C$7),Setup!$C$4))),MAX((Setup!$C$5-Setup!$C$7),Setup!$C$4)+($K156-($F156*MAX(0,(Setup!$C$5-Setup!$C$7)-Setup!$C$4)))/($F156*Setup!$C$8),IF(AND($W156&gt;0,$K156&lt;($F156*MAX(0,(Setup!$C$5-Setup!$C$7)-Setup!$C$4))+($F156*Setup!$C$8*MAX(0,Setup!$C$5-MAX((Setup!$C$5-Setup!$C$7),Setup!$C$4)))+($W156/4*MAX(0,Setup!$C$5+4-MAX(Setup!$C$5,Setup!$C$4)))),MAX(Setup!$C$5,Setup!$C$4)+($K156-($F156*MAX(0,(Setup!$C$5-Setup!$C$7)-Setup!$C$4))-($F156*Setup!$C$8*MAX(0,Setup!$C$5-MAX((Setup!$C$5-Setup!$C$7),Setup!$C$4))))/($W156/4),MAX(Setup!$C$5+4,Setup!$C$4)+($K156-($F156*MAX(0,(Setup!$C$5-Setup!$C$7)-Setup!$C$4))-($F156*Setup!$C$8*MAX(0,Setup!$C$5-MAX((Setup!$C$5-Setup!$C$7),Setup!$C$4)))-($W156/4*MAX(0,Setup!$C$5+4-MAX(Setup!$C$5,Setup!$C$4))))/($F156*Setup!$C$14)))))))</f>
        <v/>
      </c>
      <c r="AI156" s="79" t="str">
        <f>IF($R156&lt;&gt;"OK","",IF(AND($L156&lt;&gt;"",$L156&gt;0,ISNUMBER($AH156),$M156&gt;$AH156),"Runs out before the incoming delivery arrives",IF($AB156=0,"OK",IF($K156+IF(AND($L156&lt;&gt;"",$L156&gt;0),IF($M156&lt;=$AG156,$L156,0),0)&lt;($F156*MAX(0,MIN($AG156,(Setup!$C$5-Setup!$C$7))-Setup!$C$4)+$F156*Setup!$C$8*MAX(0,MIN($AG156,Setup!$C$5)-MAX((Setup!$C$5-Setup!$C$7),Setup!$C$4))+$W156/4*MAX(0,MIN($AG156,Setup!$C$5+4)-MAX(Setup!$C$5,Setup!$C$4))+$F156*Setup!$C$14*MAX(0,$AG156-MAX(Setup!$C$5+4,Setup!$C$4))),"Runs out before this order can land","OK"))))</f>
        <v/>
      </c>
      <c r="AJ156" s="78" t="str">
        <f>IF($R156&lt;&gt;"OK","",IF($AB156=0,0,IF($AL156="Too slow: send it all fast",$AB156,$AR156)))</f>
        <v/>
      </c>
      <c r="AK156" s="78" t="str">
        <f>IF($R156&lt;&gt;"OK","",$AB156-$AJ156)</f>
        <v/>
      </c>
      <c r="AL156" s="78" t="str">
        <f>IF($R156&lt;&gt;"OK","",IF($AB156=0,"",IF($AB156-$AR156=0,"Nothing left over",IF($O156="Domestic",IF($AG156&lt;=Setup!$C$6+Setup!$C$20+1,"Later units can go by Domestic","Too slow: send it all fast"),IF($AS156+$N156+Setup!$C$25+Setup!$C$11&lt;=Setup!$C$6+Setup!$C$20+1,"Later units can go by Ocean long",IF($AS156+$N156+Setup!$C$26+Setup!$C$11&lt;=Setup!$C$6+Setup!$C$20+1,"Later units can go by Ocean short",IF($AS156+$N156+Setup!$C$27+Setup!$C$11&lt;=Setup!$C$6+Setup!$C$20+1,"Later units can go by Air",IF($AS156+$N156+Setup!$C$28+Setup!$C$11&lt;=Setup!$C$6+Setup!$C$20+1,"Later units can go by Express","Too slow: send it all fast"))))))))</f>
        <v/>
      </c>
      <c r="AM156" s="94" t="str">
        <f>IF($R156&lt;&gt;"OK","",$E156-$D156)</f>
        <v/>
      </c>
      <c r="AN156" s="95" t="str">
        <f>IF($R156&lt;&gt;"OK","",($E156-$D156)/$D156)</f>
        <v/>
      </c>
      <c r="AO156" s="95" t="str">
        <f>IF($R156&lt;&gt;"OK","",IF($AB156&gt;0,$AN156+IF($C156="Evergreen",1000,0),""))</f>
        <v/>
      </c>
      <c r="AP156" s="78" t="str">
        <f>IF(OR($R156&lt;&gt;"OK",$AO156=""),"",COUNTIF($AO$6:$AO$205,"&gt;"&amp;$AO156)+COUNTIF($AO$6:$AO156,$AO156))</f>
        <v/>
      </c>
      <c r="AQ156" s="78" t="str">
        <f>IF(OR($R156&lt;&gt;"OK",$AP156=""),"",INDEX('Buy list'!$G$5:$G$204,$AP156))</f>
        <v/>
      </c>
      <c r="AR156" s="78" t="str">
        <f>IF($R156&lt;&gt;"OK","",IF($AB156=0,0,MIN($AB156,CEILING(MAX(0,($F156*MAX(0,MIN((Setup!$C$6+1+Setup!$C$20),(Setup!$C$5-Setup!$C$7))-Setup!$C$4)+$F156*Setup!$C$8*MAX(0,MIN((Setup!$C$6+1+Setup!$C$20),Setup!$C$5)-MAX((Setup!$C$5-Setup!$C$7),Setup!$C$4))+$W156/4*MAX(0,MIN((Setup!$C$6+1+Setup!$C$20),Setup!$C$5+4)-MAX(Setup!$C$5,Setup!$C$4))+$F156*Setup!$C$14*MAX(0,(Setup!$C$6+1+Setup!$C$20)-MAX(Setup!$C$5+4,Setup!$C$4)))+$Y156-$K156-IF(AND($L156&lt;&gt;"",$L156&gt;0),IF($M156&lt;=Setup!$C$10,$L156,0),0)),IF(OR($P156="",$P156&lt;=0),1,$P156)))))</f>
        <v/>
      </c>
      <c r="AS156" s="96" t="str">
        <f>IF($R156&lt;&gt;"OK","",IF(AND($O156&lt;&gt;"Domestic",ISNUMBER(Setup!$C$22),Setup!$C$22&gt;Setup!$C$4),Setup!$C$22,Setup!$C$4))</f>
        <v/>
      </c>
      <c r="AT156" s="96" t="str">
        <f>IF($R156&lt;&gt;"OK","",IF($AB156=0,"",IF($O156="Domestic",$AG156,$AS156+$N156+Setup!$C$27+Setup!$C$11)))</f>
        <v/>
      </c>
    </row>
    <row r="157" ht="15" customHeight="1" s="46">
      <c r="A157" s="70" t="n"/>
      <c r="B157" s="70" t="n"/>
      <c r="C157" s="70" t="n"/>
      <c r="D157" s="85" t="n"/>
      <c r="E157" s="85" t="n"/>
      <c r="F157" s="86" t="n"/>
      <c r="G157" s="87" t="n"/>
      <c r="H157" s="88" t="n"/>
      <c r="I157" s="89" t="n"/>
      <c r="J157" s="90" t="n"/>
      <c r="K157" s="87" t="n"/>
      <c r="L157" s="87" t="n"/>
      <c r="M157" s="91" t="n"/>
      <c r="N157" s="92" t="n"/>
      <c r="O157" s="70" t="n"/>
      <c r="P157" s="92" t="n"/>
      <c r="Q157" s="87" t="n"/>
      <c r="R157" s="79" t="str">
        <f>IF($A157="","",IF($C157="","Missing: type",IF(OR($D157="",$D157&lt;=0),"Missing: unit cost",IF($E157="","Missing: unit price",IF($F157="","Missing: daily sales",IF($K157="","Missing: on hand",IF($N157="","Missing: production days",IF($O157="","Missing: freight mode",IF(ISNA(MATCH($O157,Setup!$B$25:$B$29,0)),"Unknown freight mode",IF(AND($L157&lt;&gt;"",$L157&gt;0,$M157=""),"Missing: on-order arrival date","OK"))))))))))</f>
        <v/>
      </c>
      <c r="S157" s="78" t="str">
        <f>IF($R157&lt;&gt;"OK","",IF($G157="","",ROUND($G157/IF(OR($H157="",$H157&lt;=0),4,$H157)*4,0)))</f>
        <v/>
      </c>
      <c r="T157" s="78" t="str">
        <f>IF($R157&lt;&gt;"OK","",ROUND(IF($G157="",$F157*4*Setup!$C$19,$G157/IF(OR($H157="",$H157&lt;=0),4,$H157)*4*(1+IF($I157="",Setup!$C$16,$I157)))*IF($J157="",1,$J157),0))</f>
        <v/>
      </c>
      <c r="U157" s="78" t="str">
        <f>IF($R157&lt;&gt;"OK","",ROUND($T157*Setup!$C$17,0))</f>
        <v/>
      </c>
      <c r="V157" s="78" t="str">
        <f>IF($R157&lt;&gt;"OK","",ROUND($T157*Setup!$C$18,0))</f>
        <v/>
      </c>
      <c r="W157" s="78" t="str">
        <f>IF($R157&lt;&gt;"OK","",IF($C157="Evergreen",$V157,IF($C157="Seasonal or new",$U157,$T157)))</f>
        <v/>
      </c>
      <c r="X157" s="78" t="str">
        <f>IF($R157&lt;&gt;"OK","",ROUND(($F157*MAX(0,MIN(Setup!$C$13+1,(Setup!$C$5-Setup!$C$7))-Setup!$C$4)+$F157*Setup!$C$8*MAX(0,MIN(Setup!$C$13+1,Setup!$C$5)-MAX((Setup!$C$5-Setup!$C$7),Setup!$C$4))+$W157/4*MAX(0,MIN(Setup!$C$13+1,Setup!$C$5+4)-MAX(Setup!$C$5,Setup!$C$4))+$F157*Setup!$C$14*MAX(0,Setup!$C$13+1-MAX(Setup!$C$5+4,Setup!$C$4))),0))</f>
        <v/>
      </c>
      <c r="Y157" s="78" t="str">
        <f>IF($R157&lt;&gt;"OK","",ROUND($F157*Setup!$C$15,0))</f>
        <v/>
      </c>
      <c r="Z157" s="78" t="str">
        <f>IF($R157&lt;&gt;"OK","",IF(AND($L157&lt;&gt;"",$L157&gt;0),IF($M157&lt;=Setup!$C$13,$L157,0),0))</f>
        <v/>
      </c>
      <c r="AA157" s="78" t="str">
        <f>IF($R157&lt;&gt;"OK","",MAX(0,$X157+$Y157-$K157-$Z157))</f>
        <v/>
      </c>
      <c r="AB157" s="78" t="str">
        <f>IF($R157&lt;&gt;"OK","",IF($AA157=0,0,CEILING(MAX($AA157,IF($Q157="",0,$Q157)),IF(OR($P157="",$P157&lt;=0),1,$P157))))</f>
        <v/>
      </c>
      <c r="AC157" s="78" t="str">
        <f>IF($R157&lt;&gt;"OK","",$AB157*$D157)</f>
        <v/>
      </c>
      <c r="AD157" s="93" t="str">
        <f>IF($R157&lt;&gt;"OK","",INDEX(Setup!$D$25:$D$29,MATCH($O157,Setup!$B$25:$B$29,0)))</f>
        <v/>
      </c>
      <c r="AE157" s="93" t="str">
        <f>IF($R157&lt;&gt;"OK","",$AD157-$N157)</f>
        <v/>
      </c>
      <c r="AF157" s="79" t="str">
        <f>IF($R157&lt;&gt;"OK","",IF($AB157=0,"No order needed",IF($AE157&gt;=$AS157,"Order by the deadline",IF(AND($O157&lt;&gt;"Domestic",Setup!$D$27-$N157&gt;=$AS157),"Late by this mode: fly it",IF(Setup!$D$28-$N157&gt;=$AS157,"Late: Express courier only",IF($AG157&lt;Setup!$C$5,"Tight: lands before Black Friday",IF(AND($O157&lt;&gt;"Domestic",$AT157&lt;Setup!$C$5),"Tight: by Air lands before Black Friday",IF($AS157+$N157+Setup!$C$28+Setup!$C$11&lt;Setup!$C$5,"Tight: by Express lands before Black Friday","Too late: ration"))))))))</f>
        <v/>
      </c>
      <c r="AG157" s="93" t="str">
        <f>IF($R157&lt;&gt;"OK","",IF($AB157=0,"",$AS157+$N157+INDEX(Setup!$C$25:$C$29,MATCH($O157,Setup!$B$25:$B$29,0))+Setup!$C$11))</f>
        <v/>
      </c>
      <c r="AH157" s="93" t="str">
        <f>IF($R157&lt;&gt;"OK","",IF($F157&lt;=0,"",INT(IF($K157&lt;($F157*MAX(0,(Setup!$C$5-Setup!$C$7)-Setup!$C$4)),Setup!$C$4+$K157/$F157,IF($K157&lt;($F157*MAX(0,(Setup!$C$5-Setup!$C$7)-Setup!$C$4))+($F157*Setup!$C$8*MAX(0,Setup!$C$5-MAX((Setup!$C$5-Setup!$C$7),Setup!$C$4))),MAX((Setup!$C$5-Setup!$C$7),Setup!$C$4)+($K157-($F157*MAX(0,(Setup!$C$5-Setup!$C$7)-Setup!$C$4)))/($F157*Setup!$C$8),IF(AND($W157&gt;0,$K157&lt;($F157*MAX(0,(Setup!$C$5-Setup!$C$7)-Setup!$C$4))+($F157*Setup!$C$8*MAX(0,Setup!$C$5-MAX((Setup!$C$5-Setup!$C$7),Setup!$C$4)))+($W157/4*MAX(0,Setup!$C$5+4-MAX(Setup!$C$5,Setup!$C$4)))),MAX(Setup!$C$5,Setup!$C$4)+($K157-($F157*MAX(0,(Setup!$C$5-Setup!$C$7)-Setup!$C$4))-($F157*Setup!$C$8*MAX(0,Setup!$C$5-MAX((Setup!$C$5-Setup!$C$7),Setup!$C$4))))/($W157/4),MAX(Setup!$C$5+4,Setup!$C$4)+($K157-($F157*MAX(0,(Setup!$C$5-Setup!$C$7)-Setup!$C$4))-($F157*Setup!$C$8*MAX(0,Setup!$C$5-MAX((Setup!$C$5-Setup!$C$7),Setup!$C$4)))-($W157/4*MAX(0,Setup!$C$5+4-MAX(Setup!$C$5,Setup!$C$4))))/($F157*Setup!$C$14)))))))</f>
        <v/>
      </c>
      <c r="AI157" s="79" t="str">
        <f>IF($R157&lt;&gt;"OK","",IF(AND($L157&lt;&gt;"",$L157&gt;0,ISNUMBER($AH157),$M157&gt;$AH157),"Runs out before the incoming delivery arrives",IF($AB157=0,"OK",IF($K157+IF(AND($L157&lt;&gt;"",$L157&gt;0),IF($M157&lt;=$AG157,$L157,0),0)&lt;($F157*MAX(0,MIN($AG157,(Setup!$C$5-Setup!$C$7))-Setup!$C$4)+$F157*Setup!$C$8*MAX(0,MIN($AG157,Setup!$C$5)-MAX((Setup!$C$5-Setup!$C$7),Setup!$C$4))+$W157/4*MAX(0,MIN($AG157,Setup!$C$5+4)-MAX(Setup!$C$5,Setup!$C$4))+$F157*Setup!$C$14*MAX(0,$AG157-MAX(Setup!$C$5+4,Setup!$C$4))),"Runs out before this order can land","OK"))))</f>
        <v/>
      </c>
      <c r="AJ157" s="78" t="str">
        <f>IF($R157&lt;&gt;"OK","",IF($AB157=0,0,IF($AL157="Too slow: send it all fast",$AB157,$AR157)))</f>
        <v/>
      </c>
      <c r="AK157" s="78" t="str">
        <f>IF($R157&lt;&gt;"OK","",$AB157-$AJ157)</f>
        <v/>
      </c>
      <c r="AL157" s="78" t="str">
        <f>IF($R157&lt;&gt;"OK","",IF($AB157=0,"",IF($AB157-$AR157=0,"Nothing left over",IF($O157="Domestic",IF($AG157&lt;=Setup!$C$6+Setup!$C$20+1,"Later units can go by Domestic","Too slow: send it all fast"),IF($AS157+$N157+Setup!$C$25+Setup!$C$11&lt;=Setup!$C$6+Setup!$C$20+1,"Later units can go by Ocean long",IF($AS157+$N157+Setup!$C$26+Setup!$C$11&lt;=Setup!$C$6+Setup!$C$20+1,"Later units can go by Ocean short",IF($AS157+$N157+Setup!$C$27+Setup!$C$11&lt;=Setup!$C$6+Setup!$C$20+1,"Later units can go by Air",IF($AS157+$N157+Setup!$C$28+Setup!$C$11&lt;=Setup!$C$6+Setup!$C$20+1,"Later units can go by Express","Too slow: send it all fast"))))))))</f>
        <v/>
      </c>
      <c r="AM157" s="94" t="str">
        <f>IF($R157&lt;&gt;"OK","",$E157-$D157)</f>
        <v/>
      </c>
      <c r="AN157" s="95" t="str">
        <f>IF($R157&lt;&gt;"OK","",($E157-$D157)/$D157)</f>
        <v/>
      </c>
      <c r="AO157" s="95" t="str">
        <f>IF($R157&lt;&gt;"OK","",IF($AB157&gt;0,$AN157+IF($C157="Evergreen",1000,0),""))</f>
        <v/>
      </c>
      <c r="AP157" s="78" t="str">
        <f>IF(OR($R157&lt;&gt;"OK",$AO157=""),"",COUNTIF($AO$6:$AO$205,"&gt;"&amp;$AO157)+COUNTIF($AO$6:$AO157,$AO157))</f>
        <v/>
      </c>
      <c r="AQ157" s="78" t="str">
        <f>IF(OR($R157&lt;&gt;"OK",$AP157=""),"",INDEX('Buy list'!$G$5:$G$204,$AP157))</f>
        <v/>
      </c>
      <c r="AR157" s="78" t="str">
        <f>IF($R157&lt;&gt;"OK","",IF($AB157=0,0,MIN($AB157,CEILING(MAX(0,($F157*MAX(0,MIN((Setup!$C$6+1+Setup!$C$20),(Setup!$C$5-Setup!$C$7))-Setup!$C$4)+$F157*Setup!$C$8*MAX(0,MIN((Setup!$C$6+1+Setup!$C$20),Setup!$C$5)-MAX((Setup!$C$5-Setup!$C$7),Setup!$C$4))+$W157/4*MAX(0,MIN((Setup!$C$6+1+Setup!$C$20),Setup!$C$5+4)-MAX(Setup!$C$5,Setup!$C$4))+$F157*Setup!$C$14*MAX(0,(Setup!$C$6+1+Setup!$C$20)-MAX(Setup!$C$5+4,Setup!$C$4)))+$Y157-$K157-IF(AND($L157&lt;&gt;"",$L157&gt;0),IF($M157&lt;=Setup!$C$10,$L157,0),0)),IF(OR($P157="",$P157&lt;=0),1,$P157)))))</f>
        <v/>
      </c>
      <c r="AS157" s="96" t="str">
        <f>IF($R157&lt;&gt;"OK","",IF(AND($O157&lt;&gt;"Domestic",ISNUMBER(Setup!$C$22),Setup!$C$22&gt;Setup!$C$4),Setup!$C$22,Setup!$C$4))</f>
        <v/>
      </c>
      <c r="AT157" s="96" t="str">
        <f>IF($R157&lt;&gt;"OK","",IF($AB157=0,"",IF($O157="Domestic",$AG157,$AS157+$N157+Setup!$C$27+Setup!$C$11)))</f>
        <v/>
      </c>
    </row>
    <row r="158" ht="15" customHeight="1" s="46">
      <c r="A158" s="70" t="n"/>
      <c r="B158" s="70" t="n"/>
      <c r="C158" s="70" t="n"/>
      <c r="D158" s="85" t="n"/>
      <c r="E158" s="85" t="n"/>
      <c r="F158" s="86" t="n"/>
      <c r="G158" s="87" t="n"/>
      <c r="H158" s="88" t="n"/>
      <c r="I158" s="89" t="n"/>
      <c r="J158" s="90" t="n"/>
      <c r="K158" s="87" t="n"/>
      <c r="L158" s="87" t="n"/>
      <c r="M158" s="91" t="n"/>
      <c r="N158" s="92" t="n"/>
      <c r="O158" s="70" t="n"/>
      <c r="P158" s="92" t="n"/>
      <c r="Q158" s="87" t="n"/>
      <c r="R158" s="79" t="str">
        <f>IF($A158="","",IF($C158="","Missing: type",IF(OR($D158="",$D158&lt;=0),"Missing: unit cost",IF($E158="","Missing: unit price",IF($F158="","Missing: daily sales",IF($K158="","Missing: on hand",IF($N158="","Missing: production days",IF($O158="","Missing: freight mode",IF(ISNA(MATCH($O158,Setup!$B$25:$B$29,0)),"Unknown freight mode",IF(AND($L158&lt;&gt;"",$L158&gt;0,$M158=""),"Missing: on-order arrival date","OK"))))))))))</f>
        <v/>
      </c>
      <c r="S158" s="78" t="str">
        <f>IF($R158&lt;&gt;"OK","",IF($G158="","",ROUND($G158/IF(OR($H158="",$H158&lt;=0),4,$H158)*4,0)))</f>
        <v/>
      </c>
      <c r="T158" s="78" t="str">
        <f>IF($R158&lt;&gt;"OK","",ROUND(IF($G158="",$F158*4*Setup!$C$19,$G158/IF(OR($H158="",$H158&lt;=0),4,$H158)*4*(1+IF($I158="",Setup!$C$16,$I158)))*IF($J158="",1,$J158),0))</f>
        <v/>
      </c>
      <c r="U158" s="78" t="str">
        <f>IF($R158&lt;&gt;"OK","",ROUND($T158*Setup!$C$17,0))</f>
        <v/>
      </c>
      <c r="V158" s="78" t="str">
        <f>IF($R158&lt;&gt;"OK","",ROUND($T158*Setup!$C$18,0))</f>
        <v/>
      </c>
      <c r="W158" s="78" t="str">
        <f>IF($R158&lt;&gt;"OK","",IF($C158="Evergreen",$V158,IF($C158="Seasonal or new",$U158,$T158)))</f>
        <v/>
      </c>
      <c r="X158" s="78" t="str">
        <f>IF($R158&lt;&gt;"OK","",ROUND(($F158*MAX(0,MIN(Setup!$C$13+1,(Setup!$C$5-Setup!$C$7))-Setup!$C$4)+$F158*Setup!$C$8*MAX(0,MIN(Setup!$C$13+1,Setup!$C$5)-MAX((Setup!$C$5-Setup!$C$7),Setup!$C$4))+$W158/4*MAX(0,MIN(Setup!$C$13+1,Setup!$C$5+4)-MAX(Setup!$C$5,Setup!$C$4))+$F158*Setup!$C$14*MAX(0,Setup!$C$13+1-MAX(Setup!$C$5+4,Setup!$C$4))),0))</f>
        <v/>
      </c>
      <c r="Y158" s="78" t="str">
        <f>IF($R158&lt;&gt;"OK","",ROUND($F158*Setup!$C$15,0))</f>
        <v/>
      </c>
      <c r="Z158" s="78" t="str">
        <f>IF($R158&lt;&gt;"OK","",IF(AND($L158&lt;&gt;"",$L158&gt;0),IF($M158&lt;=Setup!$C$13,$L158,0),0))</f>
        <v/>
      </c>
      <c r="AA158" s="78" t="str">
        <f>IF($R158&lt;&gt;"OK","",MAX(0,$X158+$Y158-$K158-$Z158))</f>
        <v/>
      </c>
      <c r="AB158" s="78" t="str">
        <f>IF($R158&lt;&gt;"OK","",IF($AA158=0,0,CEILING(MAX($AA158,IF($Q158="",0,$Q158)),IF(OR($P158="",$P158&lt;=0),1,$P158))))</f>
        <v/>
      </c>
      <c r="AC158" s="78" t="str">
        <f>IF($R158&lt;&gt;"OK","",$AB158*$D158)</f>
        <v/>
      </c>
      <c r="AD158" s="93" t="str">
        <f>IF($R158&lt;&gt;"OK","",INDEX(Setup!$D$25:$D$29,MATCH($O158,Setup!$B$25:$B$29,0)))</f>
        <v/>
      </c>
      <c r="AE158" s="93" t="str">
        <f>IF($R158&lt;&gt;"OK","",$AD158-$N158)</f>
        <v/>
      </c>
      <c r="AF158" s="79" t="str">
        <f>IF($R158&lt;&gt;"OK","",IF($AB158=0,"No order needed",IF($AE158&gt;=$AS158,"Order by the deadline",IF(AND($O158&lt;&gt;"Domestic",Setup!$D$27-$N158&gt;=$AS158),"Late by this mode: fly it",IF(Setup!$D$28-$N158&gt;=$AS158,"Late: Express courier only",IF($AG158&lt;Setup!$C$5,"Tight: lands before Black Friday",IF(AND($O158&lt;&gt;"Domestic",$AT158&lt;Setup!$C$5),"Tight: by Air lands before Black Friday",IF($AS158+$N158+Setup!$C$28+Setup!$C$11&lt;Setup!$C$5,"Tight: by Express lands before Black Friday","Too late: ration"))))))))</f>
        <v/>
      </c>
      <c r="AG158" s="93" t="str">
        <f>IF($R158&lt;&gt;"OK","",IF($AB158=0,"",$AS158+$N158+INDEX(Setup!$C$25:$C$29,MATCH($O158,Setup!$B$25:$B$29,0))+Setup!$C$11))</f>
        <v/>
      </c>
      <c r="AH158" s="93" t="str">
        <f>IF($R158&lt;&gt;"OK","",IF($F158&lt;=0,"",INT(IF($K158&lt;($F158*MAX(0,(Setup!$C$5-Setup!$C$7)-Setup!$C$4)),Setup!$C$4+$K158/$F158,IF($K158&lt;($F158*MAX(0,(Setup!$C$5-Setup!$C$7)-Setup!$C$4))+($F158*Setup!$C$8*MAX(0,Setup!$C$5-MAX((Setup!$C$5-Setup!$C$7),Setup!$C$4))),MAX((Setup!$C$5-Setup!$C$7),Setup!$C$4)+($K158-($F158*MAX(0,(Setup!$C$5-Setup!$C$7)-Setup!$C$4)))/($F158*Setup!$C$8),IF(AND($W158&gt;0,$K158&lt;($F158*MAX(0,(Setup!$C$5-Setup!$C$7)-Setup!$C$4))+($F158*Setup!$C$8*MAX(0,Setup!$C$5-MAX((Setup!$C$5-Setup!$C$7),Setup!$C$4)))+($W158/4*MAX(0,Setup!$C$5+4-MAX(Setup!$C$5,Setup!$C$4)))),MAX(Setup!$C$5,Setup!$C$4)+($K158-($F158*MAX(0,(Setup!$C$5-Setup!$C$7)-Setup!$C$4))-($F158*Setup!$C$8*MAX(0,Setup!$C$5-MAX((Setup!$C$5-Setup!$C$7),Setup!$C$4))))/($W158/4),MAX(Setup!$C$5+4,Setup!$C$4)+($K158-($F158*MAX(0,(Setup!$C$5-Setup!$C$7)-Setup!$C$4))-($F158*Setup!$C$8*MAX(0,Setup!$C$5-MAX((Setup!$C$5-Setup!$C$7),Setup!$C$4)))-($W158/4*MAX(0,Setup!$C$5+4-MAX(Setup!$C$5,Setup!$C$4))))/($F158*Setup!$C$14)))))))</f>
        <v/>
      </c>
      <c r="AI158" s="79" t="str">
        <f>IF($R158&lt;&gt;"OK","",IF(AND($L158&lt;&gt;"",$L158&gt;0,ISNUMBER($AH158),$M158&gt;$AH158),"Runs out before the incoming delivery arrives",IF($AB158=0,"OK",IF($K158+IF(AND($L158&lt;&gt;"",$L158&gt;0),IF($M158&lt;=$AG158,$L158,0),0)&lt;($F158*MAX(0,MIN($AG158,(Setup!$C$5-Setup!$C$7))-Setup!$C$4)+$F158*Setup!$C$8*MAX(0,MIN($AG158,Setup!$C$5)-MAX((Setup!$C$5-Setup!$C$7),Setup!$C$4))+$W158/4*MAX(0,MIN($AG158,Setup!$C$5+4)-MAX(Setup!$C$5,Setup!$C$4))+$F158*Setup!$C$14*MAX(0,$AG158-MAX(Setup!$C$5+4,Setup!$C$4))),"Runs out before this order can land","OK"))))</f>
        <v/>
      </c>
      <c r="AJ158" s="78" t="str">
        <f>IF($R158&lt;&gt;"OK","",IF($AB158=0,0,IF($AL158="Too slow: send it all fast",$AB158,$AR158)))</f>
        <v/>
      </c>
      <c r="AK158" s="78" t="str">
        <f>IF($R158&lt;&gt;"OK","",$AB158-$AJ158)</f>
        <v/>
      </c>
      <c r="AL158" s="78" t="str">
        <f>IF($R158&lt;&gt;"OK","",IF($AB158=0,"",IF($AB158-$AR158=0,"Nothing left over",IF($O158="Domestic",IF($AG158&lt;=Setup!$C$6+Setup!$C$20+1,"Later units can go by Domestic","Too slow: send it all fast"),IF($AS158+$N158+Setup!$C$25+Setup!$C$11&lt;=Setup!$C$6+Setup!$C$20+1,"Later units can go by Ocean long",IF($AS158+$N158+Setup!$C$26+Setup!$C$11&lt;=Setup!$C$6+Setup!$C$20+1,"Later units can go by Ocean short",IF($AS158+$N158+Setup!$C$27+Setup!$C$11&lt;=Setup!$C$6+Setup!$C$20+1,"Later units can go by Air",IF($AS158+$N158+Setup!$C$28+Setup!$C$11&lt;=Setup!$C$6+Setup!$C$20+1,"Later units can go by Express","Too slow: send it all fast"))))))))</f>
        <v/>
      </c>
      <c r="AM158" s="94" t="str">
        <f>IF($R158&lt;&gt;"OK","",$E158-$D158)</f>
        <v/>
      </c>
      <c r="AN158" s="95" t="str">
        <f>IF($R158&lt;&gt;"OK","",($E158-$D158)/$D158)</f>
        <v/>
      </c>
      <c r="AO158" s="95" t="str">
        <f>IF($R158&lt;&gt;"OK","",IF($AB158&gt;0,$AN158+IF($C158="Evergreen",1000,0),""))</f>
        <v/>
      </c>
      <c r="AP158" s="78" t="str">
        <f>IF(OR($R158&lt;&gt;"OK",$AO158=""),"",COUNTIF($AO$6:$AO$205,"&gt;"&amp;$AO158)+COUNTIF($AO$6:$AO158,$AO158))</f>
        <v/>
      </c>
      <c r="AQ158" s="78" t="str">
        <f>IF(OR($R158&lt;&gt;"OK",$AP158=""),"",INDEX('Buy list'!$G$5:$G$204,$AP158))</f>
        <v/>
      </c>
      <c r="AR158" s="78" t="str">
        <f>IF($R158&lt;&gt;"OK","",IF($AB158=0,0,MIN($AB158,CEILING(MAX(0,($F158*MAX(0,MIN((Setup!$C$6+1+Setup!$C$20),(Setup!$C$5-Setup!$C$7))-Setup!$C$4)+$F158*Setup!$C$8*MAX(0,MIN((Setup!$C$6+1+Setup!$C$20),Setup!$C$5)-MAX((Setup!$C$5-Setup!$C$7),Setup!$C$4))+$W158/4*MAX(0,MIN((Setup!$C$6+1+Setup!$C$20),Setup!$C$5+4)-MAX(Setup!$C$5,Setup!$C$4))+$F158*Setup!$C$14*MAX(0,(Setup!$C$6+1+Setup!$C$20)-MAX(Setup!$C$5+4,Setup!$C$4)))+$Y158-$K158-IF(AND($L158&lt;&gt;"",$L158&gt;0),IF($M158&lt;=Setup!$C$10,$L158,0),0)),IF(OR($P158="",$P158&lt;=0),1,$P158)))))</f>
        <v/>
      </c>
      <c r="AS158" s="96" t="str">
        <f>IF($R158&lt;&gt;"OK","",IF(AND($O158&lt;&gt;"Domestic",ISNUMBER(Setup!$C$22),Setup!$C$22&gt;Setup!$C$4),Setup!$C$22,Setup!$C$4))</f>
        <v/>
      </c>
      <c r="AT158" s="96" t="str">
        <f>IF($R158&lt;&gt;"OK","",IF($AB158=0,"",IF($O158="Domestic",$AG158,$AS158+$N158+Setup!$C$27+Setup!$C$11)))</f>
        <v/>
      </c>
    </row>
    <row r="159" ht="15" customHeight="1" s="46">
      <c r="A159" s="70" t="n"/>
      <c r="B159" s="70" t="n"/>
      <c r="C159" s="70" t="n"/>
      <c r="D159" s="85" t="n"/>
      <c r="E159" s="85" t="n"/>
      <c r="F159" s="86" t="n"/>
      <c r="G159" s="87" t="n"/>
      <c r="H159" s="88" t="n"/>
      <c r="I159" s="89" t="n"/>
      <c r="J159" s="90" t="n"/>
      <c r="K159" s="87" t="n"/>
      <c r="L159" s="87" t="n"/>
      <c r="M159" s="91" t="n"/>
      <c r="N159" s="92" t="n"/>
      <c r="O159" s="70" t="n"/>
      <c r="P159" s="92" t="n"/>
      <c r="Q159" s="87" t="n"/>
      <c r="R159" s="79" t="str">
        <f>IF($A159="","",IF($C159="","Missing: type",IF(OR($D159="",$D159&lt;=0),"Missing: unit cost",IF($E159="","Missing: unit price",IF($F159="","Missing: daily sales",IF($K159="","Missing: on hand",IF($N159="","Missing: production days",IF($O159="","Missing: freight mode",IF(ISNA(MATCH($O159,Setup!$B$25:$B$29,0)),"Unknown freight mode",IF(AND($L159&lt;&gt;"",$L159&gt;0,$M159=""),"Missing: on-order arrival date","OK"))))))))))</f>
        <v/>
      </c>
      <c r="S159" s="78" t="str">
        <f>IF($R159&lt;&gt;"OK","",IF($G159="","",ROUND($G159/IF(OR($H159="",$H159&lt;=0),4,$H159)*4,0)))</f>
        <v/>
      </c>
      <c r="T159" s="78" t="str">
        <f>IF($R159&lt;&gt;"OK","",ROUND(IF($G159="",$F159*4*Setup!$C$19,$G159/IF(OR($H159="",$H159&lt;=0),4,$H159)*4*(1+IF($I159="",Setup!$C$16,$I159)))*IF($J159="",1,$J159),0))</f>
        <v/>
      </c>
      <c r="U159" s="78" t="str">
        <f>IF($R159&lt;&gt;"OK","",ROUND($T159*Setup!$C$17,0))</f>
        <v/>
      </c>
      <c r="V159" s="78" t="str">
        <f>IF($R159&lt;&gt;"OK","",ROUND($T159*Setup!$C$18,0))</f>
        <v/>
      </c>
      <c r="W159" s="78" t="str">
        <f>IF($R159&lt;&gt;"OK","",IF($C159="Evergreen",$V159,IF($C159="Seasonal or new",$U159,$T159)))</f>
        <v/>
      </c>
      <c r="X159" s="78" t="str">
        <f>IF($R159&lt;&gt;"OK","",ROUND(($F159*MAX(0,MIN(Setup!$C$13+1,(Setup!$C$5-Setup!$C$7))-Setup!$C$4)+$F159*Setup!$C$8*MAX(0,MIN(Setup!$C$13+1,Setup!$C$5)-MAX((Setup!$C$5-Setup!$C$7),Setup!$C$4))+$W159/4*MAX(0,MIN(Setup!$C$13+1,Setup!$C$5+4)-MAX(Setup!$C$5,Setup!$C$4))+$F159*Setup!$C$14*MAX(0,Setup!$C$13+1-MAX(Setup!$C$5+4,Setup!$C$4))),0))</f>
        <v/>
      </c>
      <c r="Y159" s="78" t="str">
        <f>IF($R159&lt;&gt;"OK","",ROUND($F159*Setup!$C$15,0))</f>
        <v/>
      </c>
      <c r="Z159" s="78" t="str">
        <f>IF($R159&lt;&gt;"OK","",IF(AND($L159&lt;&gt;"",$L159&gt;0),IF($M159&lt;=Setup!$C$13,$L159,0),0))</f>
        <v/>
      </c>
      <c r="AA159" s="78" t="str">
        <f>IF($R159&lt;&gt;"OK","",MAX(0,$X159+$Y159-$K159-$Z159))</f>
        <v/>
      </c>
      <c r="AB159" s="78" t="str">
        <f>IF($R159&lt;&gt;"OK","",IF($AA159=0,0,CEILING(MAX($AA159,IF($Q159="",0,$Q159)),IF(OR($P159="",$P159&lt;=0),1,$P159))))</f>
        <v/>
      </c>
      <c r="AC159" s="78" t="str">
        <f>IF($R159&lt;&gt;"OK","",$AB159*$D159)</f>
        <v/>
      </c>
      <c r="AD159" s="93" t="str">
        <f>IF($R159&lt;&gt;"OK","",INDEX(Setup!$D$25:$D$29,MATCH($O159,Setup!$B$25:$B$29,0)))</f>
        <v/>
      </c>
      <c r="AE159" s="93" t="str">
        <f>IF($R159&lt;&gt;"OK","",$AD159-$N159)</f>
        <v/>
      </c>
      <c r="AF159" s="79" t="str">
        <f>IF($R159&lt;&gt;"OK","",IF($AB159=0,"No order needed",IF($AE159&gt;=$AS159,"Order by the deadline",IF(AND($O159&lt;&gt;"Domestic",Setup!$D$27-$N159&gt;=$AS159),"Late by this mode: fly it",IF(Setup!$D$28-$N159&gt;=$AS159,"Late: Express courier only",IF($AG159&lt;Setup!$C$5,"Tight: lands before Black Friday",IF(AND($O159&lt;&gt;"Domestic",$AT159&lt;Setup!$C$5),"Tight: by Air lands before Black Friday",IF($AS159+$N159+Setup!$C$28+Setup!$C$11&lt;Setup!$C$5,"Tight: by Express lands before Black Friday","Too late: ration"))))))))</f>
        <v/>
      </c>
      <c r="AG159" s="93" t="str">
        <f>IF($R159&lt;&gt;"OK","",IF($AB159=0,"",$AS159+$N159+INDEX(Setup!$C$25:$C$29,MATCH($O159,Setup!$B$25:$B$29,0))+Setup!$C$11))</f>
        <v/>
      </c>
      <c r="AH159" s="93" t="str">
        <f>IF($R159&lt;&gt;"OK","",IF($F159&lt;=0,"",INT(IF($K159&lt;($F159*MAX(0,(Setup!$C$5-Setup!$C$7)-Setup!$C$4)),Setup!$C$4+$K159/$F159,IF($K159&lt;($F159*MAX(0,(Setup!$C$5-Setup!$C$7)-Setup!$C$4))+($F159*Setup!$C$8*MAX(0,Setup!$C$5-MAX((Setup!$C$5-Setup!$C$7),Setup!$C$4))),MAX((Setup!$C$5-Setup!$C$7),Setup!$C$4)+($K159-($F159*MAX(0,(Setup!$C$5-Setup!$C$7)-Setup!$C$4)))/($F159*Setup!$C$8),IF(AND($W159&gt;0,$K159&lt;($F159*MAX(0,(Setup!$C$5-Setup!$C$7)-Setup!$C$4))+($F159*Setup!$C$8*MAX(0,Setup!$C$5-MAX((Setup!$C$5-Setup!$C$7),Setup!$C$4)))+($W159/4*MAX(0,Setup!$C$5+4-MAX(Setup!$C$5,Setup!$C$4)))),MAX(Setup!$C$5,Setup!$C$4)+($K159-($F159*MAX(0,(Setup!$C$5-Setup!$C$7)-Setup!$C$4))-($F159*Setup!$C$8*MAX(0,Setup!$C$5-MAX((Setup!$C$5-Setup!$C$7),Setup!$C$4))))/($W159/4),MAX(Setup!$C$5+4,Setup!$C$4)+($K159-($F159*MAX(0,(Setup!$C$5-Setup!$C$7)-Setup!$C$4))-($F159*Setup!$C$8*MAX(0,Setup!$C$5-MAX((Setup!$C$5-Setup!$C$7),Setup!$C$4)))-($W159/4*MAX(0,Setup!$C$5+4-MAX(Setup!$C$5,Setup!$C$4))))/($F159*Setup!$C$14)))))))</f>
        <v/>
      </c>
      <c r="AI159" s="79" t="str">
        <f>IF($R159&lt;&gt;"OK","",IF(AND($L159&lt;&gt;"",$L159&gt;0,ISNUMBER($AH159),$M159&gt;$AH159),"Runs out before the incoming delivery arrives",IF($AB159=0,"OK",IF($K159+IF(AND($L159&lt;&gt;"",$L159&gt;0),IF($M159&lt;=$AG159,$L159,0),0)&lt;($F159*MAX(0,MIN($AG159,(Setup!$C$5-Setup!$C$7))-Setup!$C$4)+$F159*Setup!$C$8*MAX(0,MIN($AG159,Setup!$C$5)-MAX((Setup!$C$5-Setup!$C$7),Setup!$C$4))+$W159/4*MAX(0,MIN($AG159,Setup!$C$5+4)-MAX(Setup!$C$5,Setup!$C$4))+$F159*Setup!$C$14*MAX(0,$AG159-MAX(Setup!$C$5+4,Setup!$C$4))),"Runs out before this order can land","OK"))))</f>
        <v/>
      </c>
      <c r="AJ159" s="78" t="str">
        <f>IF($R159&lt;&gt;"OK","",IF($AB159=0,0,IF($AL159="Too slow: send it all fast",$AB159,$AR159)))</f>
        <v/>
      </c>
      <c r="AK159" s="78" t="str">
        <f>IF($R159&lt;&gt;"OK","",$AB159-$AJ159)</f>
        <v/>
      </c>
      <c r="AL159" s="78" t="str">
        <f>IF($R159&lt;&gt;"OK","",IF($AB159=0,"",IF($AB159-$AR159=0,"Nothing left over",IF($O159="Domestic",IF($AG159&lt;=Setup!$C$6+Setup!$C$20+1,"Later units can go by Domestic","Too slow: send it all fast"),IF($AS159+$N159+Setup!$C$25+Setup!$C$11&lt;=Setup!$C$6+Setup!$C$20+1,"Later units can go by Ocean long",IF($AS159+$N159+Setup!$C$26+Setup!$C$11&lt;=Setup!$C$6+Setup!$C$20+1,"Later units can go by Ocean short",IF($AS159+$N159+Setup!$C$27+Setup!$C$11&lt;=Setup!$C$6+Setup!$C$20+1,"Later units can go by Air",IF($AS159+$N159+Setup!$C$28+Setup!$C$11&lt;=Setup!$C$6+Setup!$C$20+1,"Later units can go by Express","Too slow: send it all fast"))))))))</f>
        <v/>
      </c>
      <c r="AM159" s="94" t="str">
        <f>IF($R159&lt;&gt;"OK","",$E159-$D159)</f>
        <v/>
      </c>
      <c r="AN159" s="95" t="str">
        <f>IF($R159&lt;&gt;"OK","",($E159-$D159)/$D159)</f>
        <v/>
      </c>
      <c r="AO159" s="95" t="str">
        <f>IF($R159&lt;&gt;"OK","",IF($AB159&gt;0,$AN159+IF($C159="Evergreen",1000,0),""))</f>
        <v/>
      </c>
      <c r="AP159" s="78" t="str">
        <f>IF(OR($R159&lt;&gt;"OK",$AO159=""),"",COUNTIF($AO$6:$AO$205,"&gt;"&amp;$AO159)+COUNTIF($AO$6:$AO159,$AO159))</f>
        <v/>
      </c>
      <c r="AQ159" s="78" t="str">
        <f>IF(OR($R159&lt;&gt;"OK",$AP159=""),"",INDEX('Buy list'!$G$5:$G$204,$AP159))</f>
        <v/>
      </c>
      <c r="AR159" s="78" t="str">
        <f>IF($R159&lt;&gt;"OK","",IF($AB159=0,0,MIN($AB159,CEILING(MAX(0,($F159*MAX(0,MIN((Setup!$C$6+1+Setup!$C$20),(Setup!$C$5-Setup!$C$7))-Setup!$C$4)+$F159*Setup!$C$8*MAX(0,MIN((Setup!$C$6+1+Setup!$C$20),Setup!$C$5)-MAX((Setup!$C$5-Setup!$C$7),Setup!$C$4))+$W159/4*MAX(0,MIN((Setup!$C$6+1+Setup!$C$20),Setup!$C$5+4)-MAX(Setup!$C$5,Setup!$C$4))+$F159*Setup!$C$14*MAX(0,(Setup!$C$6+1+Setup!$C$20)-MAX(Setup!$C$5+4,Setup!$C$4)))+$Y159-$K159-IF(AND($L159&lt;&gt;"",$L159&gt;0),IF($M159&lt;=Setup!$C$10,$L159,0),0)),IF(OR($P159="",$P159&lt;=0),1,$P159)))))</f>
        <v/>
      </c>
      <c r="AS159" s="96" t="str">
        <f>IF($R159&lt;&gt;"OK","",IF(AND($O159&lt;&gt;"Domestic",ISNUMBER(Setup!$C$22),Setup!$C$22&gt;Setup!$C$4),Setup!$C$22,Setup!$C$4))</f>
        <v/>
      </c>
      <c r="AT159" s="96" t="str">
        <f>IF($R159&lt;&gt;"OK","",IF($AB159=0,"",IF($O159="Domestic",$AG159,$AS159+$N159+Setup!$C$27+Setup!$C$11)))</f>
        <v/>
      </c>
    </row>
    <row r="160" ht="15" customHeight="1" s="46">
      <c r="A160" s="70" t="n"/>
      <c r="B160" s="70" t="n"/>
      <c r="C160" s="70" t="n"/>
      <c r="D160" s="85" t="n"/>
      <c r="E160" s="85" t="n"/>
      <c r="F160" s="86" t="n"/>
      <c r="G160" s="87" t="n"/>
      <c r="H160" s="88" t="n"/>
      <c r="I160" s="89" t="n"/>
      <c r="J160" s="90" t="n"/>
      <c r="K160" s="87" t="n"/>
      <c r="L160" s="87" t="n"/>
      <c r="M160" s="91" t="n"/>
      <c r="N160" s="92" t="n"/>
      <c r="O160" s="70" t="n"/>
      <c r="P160" s="92" t="n"/>
      <c r="Q160" s="87" t="n"/>
      <c r="R160" s="79" t="str">
        <f>IF($A160="","",IF($C160="","Missing: type",IF(OR($D160="",$D160&lt;=0),"Missing: unit cost",IF($E160="","Missing: unit price",IF($F160="","Missing: daily sales",IF($K160="","Missing: on hand",IF($N160="","Missing: production days",IF($O160="","Missing: freight mode",IF(ISNA(MATCH($O160,Setup!$B$25:$B$29,0)),"Unknown freight mode",IF(AND($L160&lt;&gt;"",$L160&gt;0,$M160=""),"Missing: on-order arrival date","OK"))))))))))</f>
        <v/>
      </c>
      <c r="S160" s="78" t="str">
        <f>IF($R160&lt;&gt;"OK","",IF($G160="","",ROUND($G160/IF(OR($H160="",$H160&lt;=0),4,$H160)*4,0)))</f>
        <v/>
      </c>
      <c r="T160" s="78" t="str">
        <f>IF($R160&lt;&gt;"OK","",ROUND(IF($G160="",$F160*4*Setup!$C$19,$G160/IF(OR($H160="",$H160&lt;=0),4,$H160)*4*(1+IF($I160="",Setup!$C$16,$I160)))*IF($J160="",1,$J160),0))</f>
        <v/>
      </c>
      <c r="U160" s="78" t="str">
        <f>IF($R160&lt;&gt;"OK","",ROUND($T160*Setup!$C$17,0))</f>
        <v/>
      </c>
      <c r="V160" s="78" t="str">
        <f>IF($R160&lt;&gt;"OK","",ROUND($T160*Setup!$C$18,0))</f>
        <v/>
      </c>
      <c r="W160" s="78" t="str">
        <f>IF($R160&lt;&gt;"OK","",IF($C160="Evergreen",$V160,IF($C160="Seasonal or new",$U160,$T160)))</f>
        <v/>
      </c>
      <c r="X160" s="78" t="str">
        <f>IF($R160&lt;&gt;"OK","",ROUND(($F160*MAX(0,MIN(Setup!$C$13+1,(Setup!$C$5-Setup!$C$7))-Setup!$C$4)+$F160*Setup!$C$8*MAX(0,MIN(Setup!$C$13+1,Setup!$C$5)-MAX((Setup!$C$5-Setup!$C$7),Setup!$C$4))+$W160/4*MAX(0,MIN(Setup!$C$13+1,Setup!$C$5+4)-MAX(Setup!$C$5,Setup!$C$4))+$F160*Setup!$C$14*MAX(0,Setup!$C$13+1-MAX(Setup!$C$5+4,Setup!$C$4))),0))</f>
        <v/>
      </c>
      <c r="Y160" s="78" t="str">
        <f>IF($R160&lt;&gt;"OK","",ROUND($F160*Setup!$C$15,0))</f>
        <v/>
      </c>
      <c r="Z160" s="78" t="str">
        <f>IF($R160&lt;&gt;"OK","",IF(AND($L160&lt;&gt;"",$L160&gt;0),IF($M160&lt;=Setup!$C$13,$L160,0),0))</f>
        <v/>
      </c>
      <c r="AA160" s="78" t="str">
        <f>IF($R160&lt;&gt;"OK","",MAX(0,$X160+$Y160-$K160-$Z160))</f>
        <v/>
      </c>
      <c r="AB160" s="78" t="str">
        <f>IF($R160&lt;&gt;"OK","",IF($AA160=0,0,CEILING(MAX($AA160,IF($Q160="",0,$Q160)),IF(OR($P160="",$P160&lt;=0),1,$P160))))</f>
        <v/>
      </c>
      <c r="AC160" s="78" t="str">
        <f>IF($R160&lt;&gt;"OK","",$AB160*$D160)</f>
        <v/>
      </c>
      <c r="AD160" s="93" t="str">
        <f>IF($R160&lt;&gt;"OK","",INDEX(Setup!$D$25:$D$29,MATCH($O160,Setup!$B$25:$B$29,0)))</f>
        <v/>
      </c>
      <c r="AE160" s="93" t="str">
        <f>IF($R160&lt;&gt;"OK","",$AD160-$N160)</f>
        <v/>
      </c>
      <c r="AF160" s="79" t="str">
        <f>IF($R160&lt;&gt;"OK","",IF($AB160=0,"No order needed",IF($AE160&gt;=$AS160,"Order by the deadline",IF(AND($O160&lt;&gt;"Domestic",Setup!$D$27-$N160&gt;=$AS160),"Late by this mode: fly it",IF(Setup!$D$28-$N160&gt;=$AS160,"Late: Express courier only",IF($AG160&lt;Setup!$C$5,"Tight: lands before Black Friday",IF(AND($O160&lt;&gt;"Domestic",$AT160&lt;Setup!$C$5),"Tight: by Air lands before Black Friday",IF($AS160+$N160+Setup!$C$28+Setup!$C$11&lt;Setup!$C$5,"Tight: by Express lands before Black Friday","Too late: ration"))))))))</f>
        <v/>
      </c>
      <c r="AG160" s="93" t="str">
        <f>IF($R160&lt;&gt;"OK","",IF($AB160=0,"",$AS160+$N160+INDEX(Setup!$C$25:$C$29,MATCH($O160,Setup!$B$25:$B$29,0))+Setup!$C$11))</f>
        <v/>
      </c>
      <c r="AH160" s="93" t="str">
        <f>IF($R160&lt;&gt;"OK","",IF($F160&lt;=0,"",INT(IF($K160&lt;($F160*MAX(0,(Setup!$C$5-Setup!$C$7)-Setup!$C$4)),Setup!$C$4+$K160/$F160,IF($K160&lt;($F160*MAX(0,(Setup!$C$5-Setup!$C$7)-Setup!$C$4))+($F160*Setup!$C$8*MAX(0,Setup!$C$5-MAX((Setup!$C$5-Setup!$C$7),Setup!$C$4))),MAX((Setup!$C$5-Setup!$C$7),Setup!$C$4)+($K160-($F160*MAX(0,(Setup!$C$5-Setup!$C$7)-Setup!$C$4)))/($F160*Setup!$C$8),IF(AND($W160&gt;0,$K160&lt;($F160*MAX(0,(Setup!$C$5-Setup!$C$7)-Setup!$C$4))+($F160*Setup!$C$8*MAX(0,Setup!$C$5-MAX((Setup!$C$5-Setup!$C$7),Setup!$C$4)))+($W160/4*MAX(0,Setup!$C$5+4-MAX(Setup!$C$5,Setup!$C$4)))),MAX(Setup!$C$5,Setup!$C$4)+($K160-($F160*MAX(0,(Setup!$C$5-Setup!$C$7)-Setup!$C$4))-($F160*Setup!$C$8*MAX(0,Setup!$C$5-MAX((Setup!$C$5-Setup!$C$7),Setup!$C$4))))/($W160/4),MAX(Setup!$C$5+4,Setup!$C$4)+($K160-($F160*MAX(0,(Setup!$C$5-Setup!$C$7)-Setup!$C$4))-($F160*Setup!$C$8*MAX(0,Setup!$C$5-MAX((Setup!$C$5-Setup!$C$7),Setup!$C$4)))-($W160/4*MAX(0,Setup!$C$5+4-MAX(Setup!$C$5,Setup!$C$4))))/($F160*Setup!$C$14)))))))</f>
        <v/>
      </c>
      <c r="AI160" s="79" t="str">
        <f>IF($R160&lt;&gt;"OK","",IF(AND($L160&lt;&gt;"",$L160&gt;0,ISNUMBER($AH160),$M160&gt;$AH160),"Runs out before the incoming delivery arrives",IF($AB160=0,"OK",IF($K160+IF(AND($L160&lt;&gt;"",$L160&gt;0),IF($M160&lt;=$AG160,$L160,0),0)&lt;($F160*MAX(0,MIN($AG160,(Setup!$C$5-Setup!$C$7))-Setup!$C$4)+$F160*Setup!$C$8*MAX(0,MIN($AG160,Setup!$C$5)-MAX((Setup!$C$5-Setup!$C$7),Setup!$C$4))+$W160/4*MAX(0,MIN($AG160,Setup!$C$5+4)-MAX(Setup!$C$5,Setup!$C$4))+$F160*Setup!$C$14*MAX(0,$AG160-MAX(Setup!$C$5+4,Setup!$C$4))),"Runs out before this order can land","OK"))))</f>
        <v/>
      </c>
      <c r="AJ160" s="78" t="str">
        <f>IF($R160&lt;&gt;"OK","",IF($AB160=0,0,IF($AL160="Too slow: send it all fast",$AB160,$AR160)))</f>
        <v/>
      </c>
      <c r="AK160" s="78" t="str">
        <f>IF($R160&lt;&gt;"OK","",$AB160-$AJ160)</f>
        <v/>
      </c>
      <c r="AL160" s="78" t="str">
        <f>IF($R160&lt;&gt;"OK","",IF($AB160=0,"",IF($AB160-$AR160=0,"Nothing left over",IF($O160="Domestic",IF($AG160&lt;=Setup!$C$6+Setup!$C$20+1,"Later units can go by Domestic","Too slow: send it all fast"),IF($AS160+$N160+Setup!$C$25+Setup!$C$11&lt;=Setup!$C$6+Setup!$C$20+1,"Later units can go by Ocean long",IF($AS160+$N160+Setup!$C$26+Setup!$C$11&lt;=Setup!$C$6+Setup!$C$20+1,"Later units can go by Ocean short",IF($AS160+$N160+Setup!$C$27+Setup!$C$11&lt;=Setup!$C$6+Setup!$C$20+1,"Later units can go by Air",IF($AS160+$N160+Setup!$C$28+Setup!$C$11&lt;=Setup!$C$6+Setup!$C$20+1,"Later units can go by Express","Too slow: send it all fast"))))))))</f>
        <v/>
      </c>
      <c r="AM160" s="94" t="str">
        <f>IF($R160&lt;&gt;"OK","",$E160-$D160)</f>
        <v/>
      </c>
      <c r="AN160" s="95" t="str">
        <f>IF($R160&lt;&gt;"OK","",($E160-$D160)/$D160)</f>
        <v/>
      </c>
      <c r="AO160" s="95" t="str">
        <f>IF($R160&lt;&gt;"OK","",IF($AB160&gt;0,$AN160+IF($C160="Evergreen",1000,0),""))</f>
        <v/>
      </c>
      <c r="AP160" s="78" t="str">
        <f>IF(OR($R160&lt;&gt;"OK",$AO160=""),"",COUNTIF($AO$6:$AO$205,"&gt;"&amp;$AO160)+COUNTIF($AO$6:$AO160,$AO160))</f>
        <v/>
      </c>
      <c r="AQ160" s="78" t="str">
        <f>IF(OR($R160&lt;&gt;"OK",$AP160=""),"",INDEX('Buy list'!$G$5:$G$204,$AP160))</f>
        <v/>
      </c>
      <c r="AR160" s="78" t="str">
        <f>IF($R160&lt;&gt;"OK","",IF($AB160=0,0,MIN($AB160,CEILING(MAX(0,($F160*MAX(0,MIN((Setup!$C$6+1+Setup!$C$20),(Setup!$C$5-Setup!$C$7))-Setup!$C$4)+$F160*Setup!$C$8*MAX(0,MIN((Setup!$C$6+1+Setup!$C$20),Setup!$C$5)-MAX((Setup!$C$5-Setup!$C$7),Setup!$C$4))+$W160/4*MAX(0,MIN((Setup!$C$6+1+Setup!$C$20),Setup!$C$5+4)-MAX(Setup!$C$5,Setup!$C$4))+$F160*Setup!$C$14*MAX(0,(Setup!$C$6+1+Setup!$C$20)-MAX(Setup!$C$5+4,Setup!$C$4)))+$Y160-$K160-IF(AND($L160&lt;&gt;"",$L160&gt;0),IF($M160&lt;=Setup!$C$10,$L160,0),0)),IF(OR($P160="",$P160&lt;=0),1,$P160)))))</f>
        <v/>
      </c>
      <c r="AS160" s="96" t="str">
        <f>IF($R160&lt;&gt;"OK","",IF(AND($O160&lt;&gt;"Domestic",ISNUMBER(Setup!$C$22),Setup!$C$22&gt;Setup!$C$4),Setup!$C$22,Setup!$C$4))</f>
        <v/>
      </c>
      <c r="AT160" s="96" t="str">
        <f>IF($R160&lt;&gt;"OK","",IF($AB160=0,"",IF($O160="Domestic",$AG160,$AS160+$N160+Setup!$C$27+Setup!$C$11)))</f>
        <v/>
      </c>
    </row>
    <row r="161" ht="15" customHeight="1" s="46">
      <c r="A161" s="70" t="n"/>
      <c r="B161" s="70" t="n"/>
      <c r="C161" s="70" t="n"/>
      <c r="D161" s="85" t="n"/>
      <c r="E161" s="85" t="n"/>
      <c r="F161" s="86" t="n"/>
      <c r="G161" s="87" t="n"/>
      <c r="H161" s="88" t="n"/>
      <c r="I161" s="89" t="n"/>
      <c r="J161" s="90" t="n"/>
      <c r="K161" s="87" t="n"/>
      <c r="L161" s="87" t="n"/>
      <c r="M161" s="91" t="n"/>
      <c r="N161" s="92" t="n"/>
      <c r="O161" s="70" t="n"/>
      <c r="P161" s="92" t="n"/>
      <c r="Q161" s="87" t="n"/>
      <c r="R161" s="79" t="str">
        <f>IF($A161="","",IF($C161="","Missing: type",IF(OR($D161="",$D161&lt;=0),"Missing: unit cost",IF($E161="","Missing: unit price",IF($F161="","Missing: daily sales",IF($K161="","Missing: on hand",IF($N161="","Missing: production days",IF($O161="","Missing: freight mode",IF(ISNA(MATCH($O161,Setup!$B$25:$B$29,0)),"Unknown freight mode",IF(AND($L161&lt;&gt;"",$L161&gt;0,$M161=""),"Missing: on-order arrival date","OK"))))))))))</f>
        <v/>
      </c>
      <c r="S161" s="78" t="str">
        <f>IF($R161&lt;&gt;"OK","",IF($G161="","",ROUND($G161/IF(OR($H161="",$H161&lt;=0),4,$H161)*4,0)))</f>
        <v/>
      </c>
      <c r="T161" s="78" t="str">
        <f>IF($R161&lt;&gt;"OK","",ROUND(IF($G161="",$F161*4*Setup!$C$19,$G161/IF(OR($H161="",$H161&lt;=0),4,$H161)*4*(1+IF($I161="",Setup!$C$16,$I161)))*IF($J161="",1,$J161),0))</f>
        <v/>
      </c>
      <c r="U161" s="78" t="str">
        <f>IF($R161&lt;&gt;"OK","",ROUND($T161*Setup!$C$17,0))</f>
        <v/>
      </c>
      <c r="V161" s="78" t="str">
        <f>IF($R161&lt;&gt;"OK","",ROUND($T161*Setup!$C$18,0))</f>
        <v/>
      </c>
      <c r="W161" s="78" t="str">
        <f>IF($R161&lt;&gt;"OK","",IF($C161="Evergreen",$V161,IF($C161="Seasonal or new",$U161,$T161)))</f>
        <v/>
      </c>
      <c r="X161" s="78" t="str">
        <f>IF($R161&lt;&gt;"OK","",ROUND(($F161*MAX(0,MIN(Setup!$C$13+1,(Setup!$C$5-Setup!$C$7))-Setup!$C$4)+$F161*Setup!$C$8*MAX(0,MIN(Setup!$C$13+1,Setup!$C$5)-MAX((Setup!$C$5-Setup!$C$7),Setup!$C$4))+$W161/4*MAX(0,MIN(Setup!$C$13+1,Setup!$C$5+4)-MAX(Setup!$C$5,Setup!$C$4))+$F161*Setup!$C$14*MAX(0,Setup!$C$13+1-MAX(Setup!$C$5+4,Setup!$C$4))),0))</f>
        <v/>
      </c>
      <c r="Y161" s="78" t="str">
        <f>IF($R161&lt;&gt;"OK","",ROUND($F161*Setup!$C$15,0))</f>
        <v/>
      </c>
      <c r="Z161" s="78" t="str">
        <f>IF($R161&lt;&gt;"OK","",IF(AND($L161&lt;&gt;"",$L161&gt;0),IF($M161&lt;=Setup!$C$13,$L161,0),0))</f>
        <v/>
      </c>
      <c r="AA161" s="78" t="str">
        <f>IF($R161&lt;&gt;"OK","",MAX(0,$X161+$Y161-$K161-$Z161))</f>
        <v/>
      </c>
      <c r="AB161" s="78" t="str">
        <f>IF($R161&lt;&gt;"OK","",IF($AA161=0,0,CEILING(MAX($AA161,IF($Q161="",0,$Q161)),IF(OR($P161="",$P161&lt;=0),1,$P161))))</f>
        <v/>
      </c>
      <c r="AC161" s="78" t="str">
        <f>IF($R161&lt;&gt;"OK","",$AB161*$D161)</f>
        <v/>
      </c>
      <c r="AD161" s="93" t="str">
        <f>IF($R161&lt;&gt;"OK","",INDEX(Setup!$D$25:$D$29,MATCH($O161,Setup!$B$25:$B$29,0)))</f>
        <v/>
      </c>
      <c r="AE161" s="93" t="str">
        <f>IF($R161&lt;&gt;"OK","",$AD161-$N161)</f>
        <v/>
      </c>
      <c r="AF161" s="79" t="str">
        <f>IF($R161&lt;&gt;"OK","",IF($AB161=0,"No order needed",IF($AE161&gt;=$AS161,"Order by the deadline",IF(AND($O161&lt;&gt;"Domestic",Setup!$D$27-$N161&gt;=$AS161),"Late by this mode: fly it",IF(Setup!$D$28-$N161&gt;=$AS161,"Late: Express courier only",IF($AG161&lt;Setup!$C$5,"Tight: lands before Black Friday",IF(AND($O161&lt;&gt;"Domestic",$AT161&lt;Setup!$C$5),"Tight: by Air lands before Black Friday",IF($AS161+$N161+Setup!$C$28+Setup!$C$11&lt;Setup!$C$5,"Tight: by Express lands before Black Friday","Too late: ration"))))))))</f>
        <v/>
      </c>
      <c r="AG161" s="93" t="str">
        <f>IF($R161&lt;&gt;"OK","",IF($AB161=0,"",$AS161+$N161+INDEX(Setup!$C$25:$C$29,MATCH($O161,Setup!$B$25:$B$29,0))+Setup!$C$11))</f>
        <v/>
      </c>
      <c r="AH161" s="93" t="str">
        <f>IF($R161&lt;&gt;"OK","",IF($F161&lt;=0,"",INT(IF($K161&lt;($F161*MAX(0,(Setup!$C$5-Setup!$C$7)-Setup!$C$4)),Setup!$C$4+$K161/$F161,IF($K161&lt;($F161*MAX(0,(Setup!$C$5-Setup!$C$7)-Setup!$C$4))+($F161*Setup!$C$8*MAX(0,Setup!$C$5-MAX((Setup!$C$5-Setup!$C$7),Setup!$C$4))),MAX((Setup!$C$5-Setup!$C$7),Setup!$C$4)+($K161-($F161*MAX(0,(Setup!$C$5-Setup!$C$7)-Setup!$C$4)))/($F161*Setup!$C$8),IF(AND($W161&gt;0,$K161&lt;($F161*MAX(0,(Setup!$C$5-Setup!$C$7)-Setup!$C$4))+($F161*Setup!$C$8*MAX(0,Setup!$C$5-MAX((Setup!$C$5-Setup!$C$7),Setup!$C$4)))+($W161/4*MAX(0,Setup!$C$5+4-MAX(Setup!$C$5,Setup!$C$4)))),MAX(Setup!$C$5,Setup!$C$4)+($K161-($F161*MAX(0,(Setup!$C$5-Setup!$C$7)-Setup!$C$4))-($F161*Setup!$C$8*MAX(0,Setup!$C$5-MAX((Setup!$C$5-Setup!$C$7),Setup!$C$4))))/($W161/4),MAX(Setup!$C$5+4,Setup!$C$4)+($K161-($F161*MAX(0,(Setup!$C$5-Setup!$C$7)-Setup!$C$4))-($F161*Setup!$C$8*MAX(0,Setup!$C$5-MAX((Setup!$C$5-Setup!$C$7),Setup!$C$4)))-($W161/4*MAX(0,Setup!$C$5+4-MAX(Setup!$C$5,Setup!$C$4))))/($F161*Setup!$C$14)))))))</f>
        <v/>
      </c>
      <c r="AI161" s="79" t="str">
        <f>IF($R161&lt;&gt;"OK","",IF(AND($L161&lt;&gt;"",$L161&gt;0,ISNUMBER($AH161),$M161&gt;$AH161),"Runs out before the incoming delivery arrives",IF($AB161=0,"OK",IF($K161+IF(AND($L161&lt;&gt;"",$L161&gt;0),IF($M161&lt;=$AG161,$L161,0),0)&lt;($F161*MAX(0,MIN($AG161,(Setup!$C$5-Setup!$C$7))-Setup!$C$4)+$F161*Setup!$C$8*MAX(0,MIN($AG161,Setup!$C$5)-MAX((Setup!$C$5-Setup!$C$7),Setup!$C$4))+$W161/4*MAX(0,MIN($AG161,Setup!$C$5+4)-MAX(Setup!$C$5,Setup!$C$4))+$F161*Setup!$C$14*MAX(0,$AG161-MAX(Setup!$C$5+4,Setup!$C$4))),"Runs out before this order can land","OK"))))</f>
        <v/>
      </c>
      <c r="AJ161" s="78" t="str">
        <f>IF($R161&lt;&gt;"OK","",IF($AB161=0,0,IF($AL161="Too slow: send it all fast",$AB161,$AR161)))</f>
        <v/>
      </c>
      <c r="AK161" s="78" t="str">
        <f>IF($R161&lt;&gt;"OK","",$AB161-$AJ161)</f>
        <v/>
      </c>
      <c r="AL161" s="78" t="str">
        <f>IF($R161&lt;&gt;"OK","",IF($AB161=0,"",IF($AB161-$AR161=0,"Nothing left over",IF($O161="Domestic",IF($AG161&lt;=Setup!$C$6+Setup!$C$20+1,"Later units can go by Domestic","Too slow: send it all fast"),IF($AS161+$N161+Setup!$C$25+Setup!$C$11&lt;=Setup!$C$6+Setup!$C$20+1,"Later units can go by Ocean long",IF($AS161+$N161+Setup!$C$26+Setup!$C$11&lt;=Setup!$C$6+Setup!$C$20+1,"Later units can go by Ocean short",IF($AS161+$N161+Setup!$C$27+Setup!$C$11&lt;=Setup!$C$6+Setup!$C$20+1,"Later units can go by Air",IF($AS161+$N161+Setup!$C$28+Setup!$C$11&lt;=Setup!$C$6+Setup!$C$20+1,"Later units can go by Express","Too slow: send it all fast"))))))))</f>
        <v/>
      </c>
      <c r="AM161" s="94" t="str">
        <f>IF($R161&lt;&gt;"OK","",$E161-$D161)</f>
        <v/>
      </c>
      <c r="AN161" s="95" t="str">
        <f>IF($R161&lt;&gt;"OK","",($E161-$D161)/$D161)</f>
        <v/>
      </c>
      <c r="AO161" s="95" t="str">
        <f>IF($R161&lt;&gt;"OK","",IF($AB161&gt;0,$AN161+IF($C161="Evergreen",1000,0),""))</f>
        <v/>
      </c>
      <c r="AP161" s="78" t="str">
        <f>IF(OR($R161&lt;&gt;"OK",$AO161=""),"",COUNTIF($AO$6:$AO$205,"&gt;"&amp;$AO161)+COUNTIF($AO$6:$AO161,$AO161))</f>
        <v/>
      </c>
      <c r="AQ161" s="78" t="str">
        <f>IF(OR($R161&lt;&gt;"OK",$AP161=""),"",INDEX('Buy list'!$G$5:$G$204,$AP161))</f>
        <v/>
      </c>
      <c r="AR161" s="78" t="str">
        <f>IF($R161&lt;&gt;"OK","",IF($AB161=0,0,MIN($AB161,CEILING(MAX(0,($F161*MAX(0,MIN((Setup!$C$6+1+Setup!$C$20),(Setup!$C$5-Setup!$C$7))-Setup!$C$4)+$F161*Setup!$C$8*MAX(0,MIN((Setup!$C$6+1+Setup!$C$20),Setup!$C$5)-MAX((Setup!$C$5-Setup!$C$7),Setup!$C$4))+$W161/4*MAX(0,MIN((Setup!$C$6+1+Setup!$C$20),Setup!$C$5+4)-MAX(Setup!$C$5,Setup!$C$4))+$F161*Setup!$C$14*MAX(0,(Setup!$C$6+1+Setup!$C$20)-MAX(Setup!$C$5+4,Setup!$C$4)))+$Y161-$K161-IF(AND($L161&lt;&gt;"",$L161&gt;0),IF($M161&lt;=Setup!$C$10,$L161,0),0)),IF(OR($P161="",$P161&lt;=0),1,$P161)))))</f>
        <v/>
      </c>
      <c r="AS161" s="96" t="str">
        <f>IF($R161&lt;&gt;"OK","",IF(AND($O161&lt;&gt;"Domestic",ISNUMBER(Setup!$C$22),Setup!$C$22&gt;Setup!$C$4),Setup!$C$22,Setup!$C$4))</f>
        <v/>
      </c>
      <c r="AT161" s="96" t="str">
        <f>IF($R161&lt;&gt;"OK","",IF($AB161=0,"",IF($O161="Domestic",$AG161,$AS161+$N161+Setup!$C$27+Setup!$C$11)))</f>
        <v/>
      </c>
    </row>
    <row r="162" ht="15" customHeight="1" s="46">
      <c r="A162" s="70" t="n"/>
      <c r="B162" s="70" t="n"/>
      <c r="C162" s="70" t="n"/>
      <c r="D162" s="85" t="n"/>
      <c r="E162" s="85" t="n"/>
      <c r="F162" s="86" t="n"/>
      <c r="G162" s="87" t="n"/>
      <c r="H162" s="88" t="n"/>
      <c r="I162" s="89" t="n"/>
      <c r="J162" s="90" t="n"/>
      <c r="K162" s="87" t="n"/>
      <c r="L162" s="87" t="n"/>
      <c r="M162" s="91" t="n"/>
      <c r="N162" s="92" t="n"/>
      <c r="O162" s="70" t="n"/>
      <c r="P162" s="92" t="n"/>
      <c r="Q162" s="87" t="n"/>
      <c r="R162" s="79" t="str">
        <f>IF($A162="","",IF($C162="","Missing: type",IF(OR($D162="",$D162&lt;=0),"Missing: unit cost",IF($E162="","Missing: unit price",IF($F162="","Missing: daily sales",IF($K162="","Missing: on hand",IF($N162="","Missing: production days",IF($O162="","Missing: freight mode",IF(ISNA(MATCH($O162,Setup!$B$25:$B$29,0)),"Unknown freight mode",IF(AND($L162&lt;&gt;"",$L162&gt;0,$M162=""),"Missing: on-order arrival date","OK"))))))))))</f>
        <v/>
      </c>
      <c r="S162" s="78" t="str">
        <f>IF($R162&lt;&gt;"OK","",IF($G162="","",ROUND($G162/IF(OR($H162="",$H162&lt;=0),4,$H162)*4,0)))</f>
        <v/>
      </c>
      <c r="T162" s="78" t="str">
        <f>IF($R162&lt;&gt;"OK","",ROUND(IF($G162="",$F162*4*Setup!$C$19,$G162/IF(OR($H162="",$H162&lt;=0),4,$H162)*4*(1+IF($I162="",Setup!$C$16,$I162)))*IF($J162="",1,$J162),0))</f>
        <v/>
      </c>
      <c r="U162" s="78" t="str">
        <f>IF($R162&lt;&gt;"OK","",ROUND($T162*Setup!$C$17,0))</f>
        <v/>
      </c>
      <c r="V162" s="78" t="str">
        <f>IF($R162&lt;&gt;"OK","",ROUND($T162*Setup!$C$18,0))</f>
        <v/>
      </c>
      <c r="W162" s="78" t="str">
        <f>IF($R162&lt;&gt;"OK","",IF($C162="Evergreen",$V162,IF($C162="Seasonal or new",$U162,$T162)))</f>
        <v/>
      </c>
      <c r="X162" s="78" t="str">
        <f>IF($R162&lt;&gt;"OK","",ROUND(($F162*MAX(0,MIN(Setup!$C$13+1,(Setup!$C$5-Setup!$C$7))-Setup!$C$4)+$F162*Setup!$C$8*MAX(0,MIN(Setup!$C$13+1,Setup!$C$5)-MAX((Setup!$C$5-Setup!$C$7),Setup!$C$4))+$W162/4*MAX(0,MIN(Setup!$C$13+1,Setup!$C$5+4)-MAX(Setup!$C$5,Setup!$C$4))+$F162*Setup!$C$14*MAX(0,Setup!$C$13+1-MAX(Setup!$C$5+4,Setup!$C$4))),0))</f>
        <v/>
      </c>
      <c r="Y162" s="78" t="str">
        <f>IF($R162&lt;&gt;"OK","",ROUND($F162*Setup!$C$15,0))</f>
        <v/>
      </c>
      <c r="Z162" s="78" t="str">
        <f>IF($R162&lt;&gt;"OK","",IF(AND($L162&lt;&gt;"",$L162&gt;0),IF($M162&lt;=Setup!$C$13,$L162,0),0))</f>
        <v/>
      </c>
      <c r="AA162" s="78" t="str">
        <f>IF($R162&lt;&gt;"OK","",MAX(0,$X162+$Y162-$K162-$Z162))</f>
        <v/>
      </c>
      <c r="AB162" s="78" t="str">
        <f>IF($R162&lt;&gt;"OK","",IF($AA162=0,0,CEILING(MAX($AA162,IF($Q162="",0,$Q162)),IF(OR($P162="",$P162&lt;=0),1,$P162))))</f>
        <v/>
      </c>
      <c r="AC162" s="78" t="str">
        <f>IF($R162&lt;&gt;"OK","",$AB162*$D162)</f>
        <v/>
      </c>
      <c r="AD162" s="93" t="str">
        <f>IF($R162&lt;&gt;"OK","",INDEX(Setup!$D$25:$D$29,MATCH($O162,Setup!$B$25:$B$29,0)))</f>
        <v/>
      </c>
      <c r="AE162" s="93" t="str">
        <f>IF($R162&lt;&gt;"OK","",$AD162-$N162)</f>
        <v/>
      </c>
      <c r="AF162" s="79" t="str">
        <f>IF($R162&lt;&gt;"OK","",IF($AB162=0,"No order needed",IF($AE162&gt;=$AS162,"Order by the deadline",IF(AND($O162&lt;&gt;"Domestic",Setup!$D$27-$N162&gt;=$AS162),"Late by this mode: fly it",IF(Setup!$D$28-$N162&gt;=$AS162,"Late: Express courier only",IF($AG162&lt;Setup!$C$5,"Tight: lands before Black Friday",IF(AND($O162&lt;&gt;"Domestic",$AT162&lt;Setup!$C$5),"Tight: by Air lands before Black Friday",IF($AS162+$N162+Setup!$C$28+Setup!$C$11&lt;Setup!$C$5,"Tight: by Express lands before Black Friday","Too late: ration"))))))))</f>
        <v/>
      </c>
      <c r="AG162" s="93" t="str">
        <f>IF($R162&lt;&gt;"OK","",IF($AB162=0,"",$AS162+$N162+INDEX(Setup!$C$25:$C$29,MATCH($O162,Setup!$B$25:$B$29,0))+Setup!$C$11))</f>
        <v/>
      </c>
      <c r="AH162" s="93" t="str">
        <f>IF($R162&lt;&gt;"OK","",IF($F162&lt;=0,"",INT(IF($K162&lt;($F162*MAX(0,(Setup!$C$5-Setup!$C$7)-Setup!$C$4)),Setup!$C$4+$K162/$F162,IF($K162&lt;($F162*MAX(0,(Setup!$C$5-Setup!$C$7)-Setup!$C$4))+($F162*Setup!$C$8*MAX(0,Setup!$C$5-MAX((Setup!$C$5-Setup!$C$7),Setup!$C$4))),MAX((Setup!$C$5-Setup!$C$7),Setup!$C$4)+($K162-($F162*MAX(0,(Setup!$C$5-Setup!$C$7)-Setup!$C$4)))/($F162*Setup!$C$8),IF(AND($W162&gt;0,$K162&lt;($F162*MAX(0,(Setup!$C$5-Setup!$C$7)-Setup!$C$4))+($F162*Setup!$C$8*MAX(0,Setup!$C$5-MAX((Setup!$C$5-Setup!$C$7),Setup!$C$4)))+($W162/4*MAX(0,Setup!$C$5+4-MAX(Setup!$C$5,Setup!$C$4)))),MAX(Setup!$C$5,Setup!$C$4)+($K162-($F162*MAX(0,(Setup!$C$5-Setup!$C$7)-Setup!$C$4))-($F162*Setup!$C$8*MAX(0,Setup!$C$5-MAX((Setup!$C$5-Setup!$C$7),Setup!$C$4))))/($W162/4),MAX(Setup!$C$5+4,Setup!$C$4)+($K162-($F162*MAX(0,(Setup!$C$5-Setup!$C$7)-Setup!$C$4))-($F162*Setup!$C$8*MAX(0,Setup!$C$5-MAX((Setup!$C$5-Setup!$C$7),Setup!$C$4)))-($W162/4*MAX(0,Setup!$C$5+4-MAX(Setup!$C$5,Setup!$C$4))))/($F162*Setup!$C$14)))))))</f>
        <v/>
      </c>
      <c r="AI162" s="79" t="str">
        <f>IF($R162&lt;&gt;"OK","",IF(AND($L162&lt;&gt;"",$L162&gt;0,ISNUMBER($AH162),$M162&gt;$AH162),"Runs out before the incoming delivery arrives",IF($AB162=0,"OK",IF($K162+IF(AND($L162&lt;&gt;"",$L162&gt;0),IF($M162&lt;=$AG162,$L162,0),0)&lt;($F162*MAX(0,MIN($AG162,(Setup!$C$5-Setup!$C$7))-Setup!$C$4)+$F162*Setup!$C$8*MAX(0,MIN($AG162,Setup!$C$5)-MAX((Setup!$C$5-Setup!$C$7),Setup!$C$4))+$W162/4*MAX(0,MIN($AG162,Setup!$C$5+4)-MAX(Setup!$C$5,Setup!$C$4))+$F162*Setup!$C$14*MAX(0,$AG162-MAX(Setup!$C$5+4,Setup!$C$4))),"Runs out before this order can land","OK"))))</f>
        <v/>
      </c>
      <c r="AJ162" s="78" t="str">
        <f>IF($R162&lt;&gt;"OK","",IF($AB162=0,0,IF($AL162="Too slow: send it all fast",$AB162,$AR162)))</f>
        <v/>
      </c>
      <c r="AK162" s="78" t="str">
        <f>IF($R162&lt;&gt;"OK","",$AB162-$AJ162)</f>
        <v/>
      </c>
      <c r="AL162" s="78" t="str">
        <f>IF($R162&lt;&gt;"OK","",IF($AB162=0,"",IF($AB162-$AR162=0,"Nothing left over",IF($O162="Domestic",IF($AG162&lt;=Setup!$C$6+Setup!$C$20+1,"Later units can go by Domestic","Too slow: send it all fast"),IF($AS162+$N162+Setup!$C$25+Setup!$C$11&lt;=Setup!$C$6+Setup!$C$20+1,"Later units can go by Ocean long",IF($AS162+$N162+Setup!$C$26+Setup!$C$11&lt;=Setup!$C$6+Setup!$C$20+1,"Later units can go by Ocean short",IF($AS162+$N162+Setup!$C$27+Setup!$C$11&lt;=Setup!$C$6+Setup!$C$20+1,"Later units can go by Air",IF($AS162+$N162+Setup!$C$28+Setup!$C$11&lt;=Setup!$C$6+Setup!$C$20+1,"Later units can go by Express","Too slow: send it all fast"))))))))</f>
        <v/>
      </c>
      <c r="AM162" s="94" t="str">
        <f>IF($R162&lt;&gt;"OK","",$E162-$D162)</f>
        <v/>
      </c>
      <c r="AN162" s="95" t="str">
        <f>IF($R162&lt;&gt;"OK","",($E162-$D162)/$D162)</f>
        <v/>
      </c>
      <c r="AO162" s="95" t="str">
        <f>IF($R162&lt;&gt;"OK","",IF($AB162&gt;0,$AN162+IF($C162="Evergreen",1000,0),""))</f>
        <v/>
      </c>
      <c r="AP162" s="78" t="str">
        <f>IF(OR($R162&lt;&gt;"OK",$AO162=""),"",COUNTIF($AO$6:$AO$205,"&gt;"&amp;$AO162)+COUNTIF($AO$6:$AO162,$AO162))</f>
        <v/>
      </c>
      <c r="AQ162" s="78" t="str">
        <f>IF(OR($R162&lt;&gt;"OK",$AP162=""),"",INDEX('Buy list'!$G$5:$G$204,$AP162))</f>
        <v/>
      </c>
      <c r="AR162" s="78" t="str">
        <f>IF($R162&lt;&gt;"OK","",IF($AB162=0,0,MIN($AB162,CEILING(MAX(0,($F162*MAX(0,MIN((Setup!$C$6+1+Setup!$C$20),(Setup!$C$5-Setup!$C$7))-Setup!$C$4)+$F162*Setup!$C$8*MAX(0,MIN((Setup!$C$6+1+Setup!$C$20),Setup!$C$5)-MAX((Setup!$C$5-Setup!$C$7),Setup!$C$4))+$W162/4*MAX(0,MIN((Setup!$C$6+1+Setup!$C$20),Setup!$C$5+4)-MAX(Setup!$C$5,Setup!$C$4))+$F162*Setup!$C$14*MAX(0,(Setup!$C$6+1+Setup!$C$20)-MAX(Setup!$C$5+4,Setup!$C$4)))+$Y162-$K162-IF(AND($L162&lt;&gt;"",$L162&gt;0),IF($M162&lt;=Setup!$C$10,$L162,0),0)),IF(OR($P162="",$P162&lt;=0),1,$P162)))))</f>
        <v/>
      </c>
      <c r="AS162" s="96" t="str">
        <f>IF($R162&lt;&gt;"OK","",IF(AND($O162&lt;&gt;"Domestic",ISNUMBER(Setup!$C$22),Setup!$C$22&gt;Setup!$C$4),Setup!$C$22,Setup!$C$4))</f>
        <v/>
      </c>
      <c r="AT162" s="96" t="str">
        <f>IF($R162&lt;&gt;"OK","",IF($AB162=0,"",IF($O162="Domestic",$AG162,$AS162+$N162+Setup!$C$27+Setup!$C$11)))</f>
        <v/>
      </c>
    </row>
    <row r="163" ht="15" customHeight="1" s="46">
      <c r="A163" s="70" t="n"/>
      <c r="B163" s="70" t="n"/>
      <c r="C163" s="70" t="n"/>
      <c r="D163" s="85" t="n"/>
      <c r="E163" s="85" t="n"/>
      <c r="F163" s="86" t="n"/>
      <c r="G163" s="87" t="n"/>
      <c r="H163" s="88" t="n"/>
      <c r="I163" s="89" t="n"/>
      <c r="J163" s="90" t="n"/>
      <c r="K163" s="87" t="n"/>
      <c r="L163" s="87" t="n"/>
      <c r="M163" s="91" t="n"/>
      <c r="N163" s="92" t="n"/>
      <c r="O163" s="70" t="n"/>
      <c r="P163" s="92" t="n"/>
      <c r="Q163" s="87" t="n"/>
      <c r="R163" s="79" t="str">
        <f>IF($A163="","",IF($C163="","Missing: type",IF(OR($D163="",$D163&lt;=0),"Missing: unit cost",IF($E163="","Missing: unit price",IF($F163="","Missing: daily sales",IF($K163="","Missing: on hand",IF($N163="","Missing: production days",IF($O163="","Missing: freight mode",IF(ISNA(MATCH($O163,Setup!$B$25:$B$29,0)),"Unknown freight mode",IF(AND($L163&lt;&gt;"",$L163&gt;0,$M163=""),"Missing: on-order arrival date","OK"))))))))))</f>
        <v/>
      </c>
      <c r="S163" s="78" t="str">
        <f>IF($R163&lt;&gt;"OK","",IF($G163="","",ROUND($G163/IF(OR($H163="",$H163&lt;=0),4,$H163)*4,0)))</f>
        <v/>
      </c>
      <c r="T163" s="78" t="str">
        <f>IF($R163&lt;&gt;"OK","",ROUND(IF($G163="",$F163*4*Setup!$C$19,$G163/IF(OR($H163="",$H163&lt;=0),4,$H163)*4*(1+IF($I163="",Setup!$C$16,$I163)))*IF($J163="",1,$J163),0))</f>
        <v/>
      </c>
      <c r="U163" s="78" t="str">
        <f>IF($R163&lt;&gt;"OK","",ROUND($T163*Setup!$C$17,0))</f>
        <v/>
      </c>
      <c r="V163" s="78" t="str">
        <f>IF($R163&lt;&gt;"OK","",ROUND($T163*Setup!$C$18,0))</f>
        <v/>
      </c>
      <c r="W163" s="78" t="str">
        <f>IF($R163&lt;&gt;"OK","",IF($C163="Evergreen",$V163,IF($C163="Seasonal or new",$U163,$T163)))</f>
        <v/>
      </c>
      <c r="X163" s="78" t="str">
        <f>IF($R163&lt;&gt;"OK","",ROUND(($F163*MAX(0,MIN(Setup!$C$13+1,(Setup!$C$5-Setup!$C$7))-Setup!$C$4)+$F163*Setup!$C$8*MAX(0,MIN(Setup!$C$13+1,Setup!$C$5)-MAX((Setup!$C$5-Setup!$C$7),Setup!$C$4))+$W163/4*MAX(0,MIN(Setup!$C$13+1,Setup!$C$5+4)-MAX(Setup!$C$5,Setup!$C$4))+$F163*Setup!$C$14*MAX(0,Setup!$C$13+1-MAX(Setup!$C$5+4,Setup!$C$4))),0))</f>
        <v/>
      </c>
      <c r="Y163" s="78" t="str">
        <f>IF($R163&lt;&gt;"OK","",ROUND($F163*Setup!$C$15,0))</f>
        <v/>
      </c>
      <c r="Z163" s="78" t="str">
        <f>IF($R163&lt;&gt;"OK","",IF(AND($L163&lt;&gt;"",$L163&gt;0),IF($M163&lt;=Setup!$C$13,$L163,0),0))</f>
        <v/>
      </c>
      <c r="AA163" s="78" t="str">
        <f>IF($R163&lt;&gt;"OK","",MAX(0,$X163+$Y163-$K163-$Z163))</f>
        <v/>
      </c>
      <c r="AB163" s="78" t="str">
        <f>IF($R163&lt;&gt;"OK","",IF($AA163=0,0,CEILING(MAX($AA163,IF($Q163="",0,$Q163)),IF(OR($P163="",$P163&lt;=0),1,$P163))))</f>
        <v/>
      </c>
      <c r="AC163" s="78" t="str">
        <f>IF($R163&lt;&gt;"OK","",$AB163*$D163)</f>
        <v/>
      </c>
      <c r="AD163" s="93" t="str">
        <f>IF($R163&lt;&gt;"OK","",INDEX(Setup!$D$25:$D$29,MATCH($O163,Setup!$B$25:$B$29,0)))</f>
        <v/>
      </c>
      <c r="AE163" s="93" t="str">
        <f>IF($R163&lt;&gt;"OK","",$AD163-$N163)</f>
        <v/>
      </c>
      <c r="AF163" s="79" t="str">
        <f>IF($R163&lt;&gt;"OK","",IF($AB163=0,"No order needed",IF($AE163&gt;=$AS163,"Order by the deadline",IF(AND($O163&lt;&gt;"Domestic",Setup!$D$27-$N163&gt;=$AS163),"Late by this mode: fly it",IF(Setup!$D$28-$N163&gt;=$AS163,"Late: Express courier only",IF($AG163&lt;Setup!$C$5,"Tight: lands before Black Friday",IF(AND($O163&lt;&gt;"Domestic",$AT163&lt;Setup!$C$5),"Tight: by Air lands before Black Friday",IF($AS163+$N163+Setup!$C$28+Setup!$C$11&lt;Setup!$C$5,"Tight: by Express lands before Black Friday","Too late: ration"))))))))</f>
        <v/>
      </c>
      <c r="AG163" s="93" t="str">
        <f>IF($R163&lt;&gt;"OK","",IF($AB163=0,"",$AS163+$N163+INDEX(Setup!$C$25:$C$29,MATCH($O163,Setup!$B$25:$B$29,0))+Setup!$C$11))</f>
        <v/>
      </c>
      <c r="AH163" s="93" t="str">
        <f>IF($R163&lt;&gt;"OK","",IF($F163&lt;=0,"",INT(IF($K163&lt;($F163*MAX(0,(Setup!$C$5-Setup!$C$7)-Setup!$C$4)),Setup!$C$4+$K163/$F163,IF($K163&lt;($F163*MAX(0,(Setup!$C$5-Setup!$C$7)-Setup!$C$4))+($F163*Setup!$C$8*MAX(0,Setup!$C$5-MAX((Setup!$C$5-Setup!$C$7),Setup!$C$4))),MAX((Setup!$C$5-Setup!$C$7),Setup!$C$4)+($K163-($F163*MAX(0,(Setup!$C$5-Setup!$C$7)-Setup!$C$4)))/($F163*Setup!$C$8),IF(AND($W163&gt;0,$K163&lt;($F163*MAX(0,(Setup!$C$5-Setup!$C$7)-Setup!$C$4))+($F163*Setup!$C$8*MAX(0,Setup!$C$5-MAX((Setup!$C$5-Setup!$C$7),Setup!$C$4)))+($W163/4*MAX(0,Setup!$C$5+4-MAX(Setup!$C$5,Setup!$C$4)))),MAX(Setup!$C$5,Setup!$C$4)+($K163-($F163*MAX(0,(Setup!$C$5-Setup!$C$7)-Setup!$C$4))-($F163*Setup!$C$8*MAX(0,Setup!$C$5-MAX((Setup!$C$5-Setup!$C$7),Setup!$C$4))))/($W163/4),MAX(Setup!$C$5+4,Setup!$C$4)+($K163-($F163*MAX(0,(Setup!$C$5-Setup!$C$7)-Setup!$C$4))-($F163*Setup!$C$8*MAX(0,Setup!$C$5-MAX((Setup!$C$5-Setup!$C$7),Setup!$C$4)))-($W163/4*MAX(0,Setup!$C$5+4-MAX(Setup!$C$5,Setup!$C$4))))/($F163*Setup!$C$14)))))))</f>
        <v/>
      </c>
      <c r="AI163" s="79" t="str">
        <f>IF($R163&lt;&gt;"OK","",IF(AND($L163&lt;&gt;"",$L163&gt;0,ISNUMBER($AH163),$M163&gt;$AH163),"Runs out before the incoming delivery arrives",IF($AB163=0,"OK",IF($K163+IF(AND($L163&lt;&gt;"",$L163&gt;0),IF($M163&lt;=$AG163,$L163,0),0)&lt;($F163*MAX(0,MIN($AG163,(Setup!$C$5-Setup!$C$7))-Setup!$C$4)+$F163*Setup!$C$8*MAX(0,MIN($AG163,Setup!$C$5)-MAX((Setup!$C$5-Setup!$C$7),Setup!$C$4))+$W163/4*MAX(0,MIN($AG163,Setup!$C$5+4)-MAX(Setup!$C$5,Setup!$C$4))+$F163*Setup!$C$14*MAX(0,$AG163-MAX(Setup!$C$5+4,Setup!$C$4))),"Runs out before this order can land","OK"))))</f>
        <v/>
      </c>
      <c r="AJ163" s="78" t="str">
        <f>IF($R163&lt;&gt;"OK","",IF($AB163=0,0,IF($AL163="Too slow: send it all fast",$AB163,$AR163)))</f>
        <v/>
      </c>
      <c r="AK163" s="78" t="str">
        <f>IF($R163&lt;&gt;"OK","",$AB163-$AJ163)</f>
        <v/>
      </c>
      <c r="AL163" s="78" t="str">
        <f>IF($R163&lt;&gt;"OK","",IF($AB163=0,"",IF($AB163-$AR163=0,"Nothing left over",IF($O163="Domestic",IF($AG163&lt;=Setup!$C$6+Setup!$C$20+1,"Later units can go by Domestic","Too slow: send it all fast"),IF($AS163+$N163+Setup!$C$25+Setup!$C$11&lt;=Setup!$C$6+Setup!$C$20+1,"Later units can go by Ocean long",IF($AS163+$N163+Setup!$C$26+Setup!$C$11&lt;=Setup!$C$6+Setup!$C$20+1,"Later units can go by Ocean short",IF($AS163+$N163+Setup!$C$27+Setup!$C$11&lt;=Setup!$C$6+Setup!$C$20+1,"Later units can go by Air",IF($AS163+$N163+Setup!$C$28+Setup!$C$11&lt;=Setup!$C$6+Setup!$C$20+1,"Later units can go by Express","Too slow: send it all fast"))))))))</f>
        <v/>
      </c>
      <c r="AM163" s="94" t="str">
        <f>IF($R163&lt;&gt;"OK","",$E163-$D163)</f>
        <v/>
      </c>
      <c r="AN163" s="95" t="str">
        <f>IF($R163&lt;&gt;"OK","",($E163-$D163)/$D163)</f>
        <v/>
      </c>
      <c r="AO163" s="95" t="str">
        <f>IF($R163&lt;&gt;"OK","",IF($AB163&gt;0,$AN163+IF($C163="Evergreen",1000,0),""))</f>
        <v/>
      </c>
      <c r="AP163" s="78" t="str">
        <f>IF(OR($R163&lt;&gt;"OK",$AO163=""),"",COUNTIF($AO$6:$AO$205,"&gt;"&amp;$AO163)+COUNTIF($AO$6:$AO163,$AO163))</f>
        <v/>
      </c>
      <c r="AQ163" s="78" t="str">
        <f>IF(OR($R163&lt;&gt;"OK",$AP163=""),"",INDEX('Buy list'!$G$5:$G$204,$AP163))</f>
        <v/>
      </c>
      <c r="AR163" s="78" t="str">
        <f>IF($R163&lt;&gt;"OK","",IF($AB163=0,0,MIN($AB163,CEILING(MAX(0,($F163*MAX(0,MIN((Setup!$C$6+1+Setup!$C$20),(Setup!$C$5-Setup!$C$7))-Setup!$C$4)+$F163*Setup!$C$8*MAX(0,MIN((Setup!$C$6+1+Setup!$C$20),Setup!$C$5)-MAX((Setup!$C$5-Setup!$C$7),Setup!$C$4))+$W163/4*MAX(0,MIN((Setup!$C$6+1+Setup!$C$20),Setup!$C$5+4)-MAX(Setup!$C$5,Setup!$C$4))+$F163*Setup!$C$14*MAX(0,(Setup!$C$6+1+Setup!$C$20)-MAX(Setup!$C$5+4,Setup!$C$4)))+$Y163-$K163-IF(AND($L163&lt;&gt;"",$L163&gt;0),IF($M163&lt;=Setup!$C$10,$L163,0),0)),IF(OR($P163="",$P163&lt;=0),1,$P163)))))</f>
        <v/>
      </c>
      <c r="AS163" s="96" t="str">
        <f>IF($R163&lt;&gt;"OK","",IF(AND($O163&lt;&gt;"Domestic",ISNUMBER(Setup!$C$22),Setup!$C$22&gt;Setup!$C$4),Setup!$C$22,Setup!$C$4))</f>
        <v/>
      </c>
      <c r="AT163" s="96" t="str">
        <f>IF($R163&lt;&gt;"OK","",IF($AB163=0,"",IF($O163="Domestic",$AG163,$AS163+$N163+Setup!$C$27+Setup!$C$11)))</f>
        <v/>
      </c>
    </row>
    <row r="164" ht="15" customHeight="1" s="46">
      <c r="A164" s="70" t="n"/>
      <c r="B164" s="70" t="n"/>
      <c r="C164" s="70" t="n"/>
      <c r="D164" s="85" t="n"/>
      <c r="E164" s="85" t="n"/>
      <c r="F164" s="86" t="n"/>
      <c r="G164" s="87" t="n"/>
      <c r="H164" s="88" t="n"/>
      <c r="I164" s="89" t="n"/>
      <c r="J164" s="90" t="n"/>
      <c r="K164" s="87" t="n"/>
      <c r="L164" s="87" t="n"/>
      <c r="M164" s="91" t="n"/>
      <c r="N164" s="92" t="n"/>
      <c r="O164" s="70" t="n"/>
      <c r="P164" s="92" t="n"/>
      <c r="Q164" s="87" t="n"/>
      <c r="R164" s="79" t="str">
        <f>IF($A164="","",IF($C164="","Missing: type",IF(OR($D164="",$D164&lt;=0),"Missing: unit cost",IF($E164="","Missing: unit price",IF($F164="","Missing: daily sales",IF($K164="","Missing: on hand",IF($N164="","Missing: production days",IF($O164="","Missing: freight mode",IF(ISNA(MATCH($O164,Setup!$B$25:$B$29,0)),"Unknown freight mode",IF(AND($L164&lt;&gt;"",$L164&gt;0,$M164=""),"Missing: on-order arrival date","OK"))))))))))</f>
        <v/>
      </c>
      <c r="S164" s="78" t="str">
        <f>IF($R164&lt;&gt;"OK","",IF($G164="","",ROUND($G164/IF(OR($H164="",$H164&lt;=0),4,$H164)*4,0)))</f>
        <v/>
      </c>
      <c r="T164" s="78" t="str">
        <f>IF($R164&lt;&gt;"OK","",ROUND(IF($G164="",$F164*4*Setup!$C$19,$G164/IF(OR($H164="",$H164&lt;=0),4,$H164)*4*(1+IF($I164="",Setup!$C$16,$I164)))*IF($J164="",1,$J164),0))</f>
        <v/>
      </c>
      <c r="U164" s="78" t="str">
        <f>IF($R164&lt;&gt;"OK","",ROUND($T164*Setup!$C$17,0))</f>
        <v/>
      </c>
      <c r="V164" s="78" t="str">
        <f>IF($R164&lt;&gt;"OK","",ROUND($T164*Setup!$C$18,0))</f>
        <v/>
      </c>
      <c r="W164" s="78" t="str">
        <f>IF($R164&lt;&gt;"OK","",IF($C164="Evergreen",$V164,IF($C164="Seasonal or new",$U164,$T164)))</f>
        <v/>
      </c>
      <c r="X164" s="78" t="str">
        <f>IF($R164&lt;&gt;"OK","",ROUND(($F164*MAX(0,MIN(Setup!$C$13+1,(Setup!$C$5-Setup!$C$7))-Setup!$C$4)+$F164*Setup!$C$8*MAX(0,MIN(Setup!$C$13+1,Setup!$C$5)-MAX((Setup!$C$5-Setup!$C$7),Setup!$C$4))+$W164/4*MAX(0,MIN(Setup!$C$13+1,Setup!$C$5+4)-MAX(Setup!$C$5,Setup!$C$4))+$F164*Setup!$C$14*MAX(0,Setup!$C$13+1-MAX(Setup!$C$5+4,Setup!$C$4))),0))</f>
        <v/>
      </c>
      <c r="Y164" s="78" t="str">
        <f>IF($R164&lt;&gt;"OK","",ROUND($F164*Setup!$C$15,0))</f>
        <v/>
      </c>
      <c r="Z164" s="78" t="str">
        <f>IF($R164&lt;&gt;"OK","",IF(AND($L164&lt;&gt;"",$L164&gt;0),IF($M164&lt;=Setup!$C$13,$L164,0),0))</f>
        <v/>
      </c>
      <c r="AA164" s="78" t="str">
        <f>IF($R164&lt;&gt;"OK","",MAX(0,$X164+$Y164-$K164-$Z164))</f>
        <v/>
      </c>
      <c r="AB164" s="78" t="str">
        <f>IF($R164&lt;&gt;"OK","",IF($AA164=0,0,CEILING(MAX($AA164,IF($Q164="",0,$Q164)),IF(OR($P164="",$P164&lt;=0),1,$P164))))</f>
        <v/>
      </c>
      <c r="AC164" s="78" t="str">
        <f>IF($R164&lt;&gt;"OK","",$AB164*$D164)</f>
        <v/>
      </c>
      <c r="AD164" s="93" t="str">
        <f>IF($R164&lt;&gt;"OK","",INDEX(Setup!$D$25:$D$29,MATCH($O164,Setup!$B$25:$B$29,0)))</f>
        <v/>
      </c>
      <c r="AE164" s="93" t="str">
        <f>IF($R164&lt;&gt;"OK","",$AD164-$N164)</f>
        <v/>
      </c>
      <c r="AF164" s="79" t="str">
        <f>IF($R164&lt;&gt;"OK","",IF($AB164=0,"No order needed",IF($AE164&gt;=$AS164,"Order by the deadline",IF(AND($O164&lt;&gt;"Domestic",Setup!$D$27-$N164&gt;=$AS164),"Late by this mode: fly it",IF(Setup!$D$28-$N164&gt;=$AS164,"Late: Express courier only",IF($AG164&lt;Setup!$C$5,"Tight: lands before Black Friday",IF(AND($O164&lt;&gt;"Domestic",$AT164&lt;Setup!$C$5),"Tight: by Air lands before Black Friday",IF($AS164+$N164+Setup!$C$28+Setup!$C$11&lt;Setup!$C$5,"Tight: by Express lands before Black Friday","Too late: ration"))))))))</f>
        <v/>
      </c>
      <c r="AG164" s="93" t="str">
        <f>IF($R164&lt;&gt;"OK","",IF($AB164=0,"",$AS164+$N164+INDEX(Setup!$C$25:$C$29,MATCH($O164,Setup!$B$25:$B$29,0))+Setup!$C$11))</f>
        <v/>
      </c>
      <c r="AH164" s="93" t="str">
        <f>IF($R164&lt;&gt;"OK","",IF($F164&lt;=0,"",INT(IF($K164&lt;($F164*MAX(0,(Setup!$C$5-Setup!$C$7)-Setup!$C$4)),Setup!$C$4+$K164/$F164,IF($K164&lt;($F164*MAX(0,(Setup!$C$5-Setup!$C$7)-Setup!$C$4))+($F164*Setup!$C$8*MAX(0,Setup!$C$5-MAX((Setup!$C$5-Setup!$C$7),Setup!$C$4))),MAX((Setup!$C$5-Setup!$C$7),Setup!$C$4)+($K164-($F164*MAX(0,(Setup!$C$5-Setup!$C$7)-Setup!$C$4)))/($F164*Setup!$C$8),IF(AND($W164&gt;0,$K164&lt;($F164*MAX(0,(Setup!$C$5-Setup!$C$7)-Setup!$C$4))+($F164*Setup!$C$8*MAX(0,Setup!$C$5-MAX((Setup!$C$5-Setup!$C$7),Setup!$C$4)))+($W164/4*MAX(0,Setup!$C$5+4-MAX(Setup!$C$5,Setup!$C$4)))),MAX(Setup!$C$5,Setup!$C$4)+($K164-($F164*MAX(0,(Setup!$C$5-Setup!$C$7)-Setup!$C$4))-($F164*Setup!$C$8*MAX(0,Setup!$C$5-MAX((Setup!$C$5-Setup!$C$7),Setup!$C$4))))/($W164/4),MAX(Setup!$C$5+4,Setup!$C$4)+($K164-($F164*MAX(0,(Setup!$C$5-Setup!$C$7)-Setup!$C$4))-($F164*Setup!$C$8*MAX(0,Setup!$C$5-MAX((Setup!$C$5-Setup!$C$7),Setup!$C$4)))-($W164/4*MAX(0,Setup!$C$5+4-MAX(Setup!$C$5,Setup!$C$4))))/($F164*Setup!$C$14)))))))</f>
        <v/>
      </c>
      <c r="AI164" s="79" t="str">
        <f>IF($R164&lt;&gt;"OK","",IF(AND($L164&lt;&gt;"",$L164&gt;0,ISNUMBER($AH164),$M164&gt;$AH164),"Runs out before the incoming delivery arrives",IF($AB164=0,"OK",IF($K164+IF(AND($L164&lt;&gt;"",$L164&gt;0),IF($M164&lt;=$AG164,$L164,0),0)&lt;($F164*MAX(0,MIN($AG164,(Setup!$C$5-Setup!$C$7))-Setup!$C$4)+$F164*Setup!$C$8*MAX(0,MIN($AG164,Setup!$C$5)-MAX((Setup!$C$5-Setup!$C$7),Setup!$C$4))+$W164/4*MAX(0,MIN($AG164,Setup!$C$5+4)-MAX(Setup!$C$5,Setup!$C$4))+$F164*Setup!$C$14*MAX(0,$AG164-MAX(Setup!$C$5+4,Setup!$C$4))),"Runs out before this order can land","OK"))))</f>
        <v/>
      </c>
      <c r="AJ164" s="78" t="str">
        <f>IF($R164&lt;&gt;"OK","",IF($AB164=0,0,IF($AL164="Too slow: send it all fast",$AB164,$AR164)))</f>
        <v/>
      </c>
      <c r="AK164" s="78" t="str">
        <f>IF($R164&lt;&gt;"OK","",$AB164-$AJ164)</f>
        <v/>
      </c>
      <c r="AL164" s="78" t="str">
        <f>IF($R164&lt;&gt;"OK","",IF($AB164=0,"",IF($AB164-$AR164=0,"Nothing left over",IF($O164="Domestic",IF($AG164&lt;=Setup!$C$6+Setup!$C$20+1,"Later units can go by Domestic","Too slow: send it all fast"),IF($AS164+$N164+Setup!$C$25+Setup!$C$11&lt;=Setup!$C$6+Setup!$C$20+1,"Later units can go by Ocean long",IF($AS164+$N164+Setup!$C$26+Setup!$C$11&lt;=Setup!$C$6+Setup!$C$20+1,"Later units can go by Ocean short",IF($AS164+$N164+Setup!$C$27+Setup!$C$11&lt;=Setup!$C$6+Setup!$C$20+1,"Later units can go by Air",IF($AS164+$N164+Setup!$C$28+Setup!$C$11&lt;=Setup!$C$6+Setup!$C$20+1,"Later units can go by Express","Too slow: send it all fast"))))))))</f>
        <v/>
      </c>
      <c r="AM164" s="94" t="str">
        <f>IF($R164&lt;&gt;"OK","",$E164-$D164)</f>
        <v/>
      </c>
      <c r="AN164" s="95" t="str">
        <f>IF($R164&lt;&gt;"OK","",($E164-$D164)/$D164)</f>
        <v/>
      </c>
      <c r="AO164" s="95" t="str">
        <f>IF($R164&lt;&gt;"OK","",IF($AB164&gt;0,$AN164+IF($C164="Evergreen",1000,0),""))</f>
        <v/>
      </c>
      <c r="AP164" s="78" t="str">
        <f>IF(OR($R164&lt;&gt;"OK",$AO164=""),"",COUNTIF($AO$6:$AO$205,"&gt;"&amp;$AO164)+COUNTIF($AO$6:$AO164,$AO164))</f>
        <v/>
      </c>
      <c r="AQ164" s="78" t="str">
        <f>IF(OR($R164&lt;&gt;"OK",$AP164=""),"",INDEX('Buy list'!$G$5:$G$204,$AP164))</f>
        <v/>
      </c>
      <c r="AR164" s="78" t="str">
        <f>IF($R164&lt;&gt;"OK","",IF($AB164=0,0,MIN($AB164,CEILING(MAX(0,($F164*MAX(0,MIN((Setup!$C$6+1+Setup!$C$20),(Setup!$C$5-Setup!$C$7))-Setup!$C$4)+$F164*Setup!$C$8*MAX(0,MIN((Setup!$C$6+1+Setup!$C$20),Setup!$C$5)-MAX((Setup!$C$5-Setup!$C$7),Setup!$C$4))+$W164/4*MAX(0,MIN((Setup!$C$6+1+Setup!$C$20),Setup!$C$5+4)-MAX(Setup!$C$5,Setup!$C$4))+$F164*Setup!$C$14*MAX(0,(Setup!$C$6+1+Setup!$C$20)-MAX(Setup!$C$5+4,Setup!$C$4)))+$Y164-$K164-IF(AND($L164&lt;&gt;"",$L164&gt;0),IF($M164&lt;=Setup!$C$10,$L164,0),0)),IF(OR($P164="",$P164&lt;=0),1,$P164)))))</f>
        <v/>
      </c>
      <c r="AS164" s="96" t="str">
        <f>IF($R164&lt;&gt;"OK","",IF(AND($O164&lt;&gt;"Domestic",ISNUMBER(Setup!$C$22),Setup!$C$22&gt;Setup!$C$4),Setup!$C$22,Setup!$C$4))</f>
        <v/>
      </c>
      <c r="AT164" s="96" t="str">
        <f>IF($R164&lt;&gt;"OK","",IF($AB164=0,"",IF($O164="Domestic",$AG164,$AS164+$N164+Setup!$C$27+Setup!$C$11)))</f>
        <v/>
      </c>
    </row>
    <row r="165" ht="15" customHeight="1" s="46">
      <c r="A165" s="70" t="n"/>
      <c r="B165" s="70" t="n"/>
      <c r="C165" s="70" t="n"/>
      <c r="D165" s="85" t="n"/>
      <c r="E165" s="85" t="n"/>
      <c r="F165" s="86" t="n"/>
      <c r="G165" s="87" t="n"/>
      <c r="H165" s="88" t="n"/>
      <c r="I165" s="89" t="n"/>
      <c r="J165" s="90" t="n"/>
      <c r="K165" s="87" t="n"/>
      <c r="L165" s="87" t="n"/>
      <c r="M165" s="91" t="n"/>
      <c r="N165" s="92" t="n"/>
      <c r="O165" s="70" t="n"/>
      <c r="P165" s="92" t="n"/>
      <c r="Q165" s="87" t="n"/>
      <c r="R165" s="79" t="str">
        <f>IF($A165="","",IF($C165="","Missing: type",IF(OR($D165="",$D165&lt;=0),"Missing: unit cost",IF($E165="","Missing: unit price",IF($F165="","Missing: daily sales",IF($K165="","Missing: on hand",IF($N165="","Missing: production days",IF($O165="","Missing: freight mode",IF(ISNA(MATCH($O165,Setup!$B$25:$B$29,0)),"Unknown freight mode",IF(AND($L165&lt;&gt;"",$L165&gt;0,$M165=""),"Missing: on-order arrival date","OK"))))))))))</f>
        <v/>
      </c>
      <c r="S165" s="78" t="str">
        <f>IF($R165&lt;&gt;"OK","",IF($G165="","",ROUND($G165/IF(OR($H165="",$H165&lt;=0),4,$H165)*4,0)))</f>
        <v/>
      </c>
      <c r="T165" s="78" t="str">
        <f>IF($R165&lt;&gt;"OK","",ROUND(IF($G165="",$F165*4*Setup!$C$19,$G165/IF(OR($H165="",$H165&lt;=0),4,$H165)*4*(1+IF($I165="",Setup!$C$16,$I165)))*IF($J165="",1,$J165),0))</f>
        <v/>
      </c>
      <c r="U165" s="78" t="str">
        <f>IF($R165&lt;&gt;"OK","",ROUND($T165*Setup!$C$17,0))</f>
        <v/>
      </c>
      <c r="V165" s="78" t="str">
        <f>IF($R165&lt;&gt;"OK","",ROUND($T165*Setup!$C$18,0))</f>
        <v/>
      </c>
      <c r="W165" s="78" t="str">
        <f>IF($R165&lt;&gt;"OK","",IF($C165="Evergreen",$V165,IF($C165="Seasonal or new",$U165,$T165)))</f>
        <v/>
      </c>
      <c r="X165" s="78" t="str">
        <f>IF($R165&lt;&gt;"OK","",ROUND(($F165*MAX(0,MIN(Setup!$C$13+1,(Setup!$C$5-Setup!$C$7))-Setup!$C$4)+$F165*Setup!$C$8*MAX(0,MIN(Setup!$C$13+1,Setup!$C$5)-MAX((Setup!$C$5-Setup!$C$7),Setup!$C$4))+$W165/4*MAX(0,MIN(Setup!$C$13+1,Setup!$C$5+4)-MAX(Setup!$C$5,Setup!$C$4))+$F165*Setup!$C$14*MAX(0,Setup!$C$13+1-MAX(Setup!$C$5+4,Setup!$C$4))),0))</f>
        <v/>
      </c>
      <c r="Y165" s="78" t="str">
        <f>IF($R165&lt;&gt;"OK","",ROUND($F165*Setup!$C$15,0))</f>
        <v/>
      </c>
      <c r="Z165" s="78" t="str">
        <f>IF($R165&lt;&gt;"OK","",IF(AND($L165&lt;&gt;"",$L165&gt;0),IF($M165&lt;=Setup!$C$13,$L165,0),0))</f>
        <v/>
      </c>
      <c r="AA165" s="78" t="str">
        <f>IF($R165&lt;&gt;"OK","",MAX(0,$X165+$Y165-$K165-$Z165))</f>
        <v/>
      </c>
      <c r="AB165" s="78" t="str">
        <f>IF($R165&lt;&gt;"OK","",IF($AA165=0,0,CEILING(MAX($AA165,IF($Q165="",0,$Q165)),IF(OR($P165="",$P165&lt;=0),1,$P165))))</f>
        <v/>
      </c>
      <c r="AC165" s="78" t="str">
        <f>IF($R165&lt;&gt;"OK","",$AB165*$D165)</f>
        <v/>
      </c>
      <c r="AD165" s="93" t="str">
        <f>IF($R165&lt;&gt;"OK","",INDEX(Setup!$D$25:$D$29,MATCH($O165,Setup!$B$25:$B$29,0)))</f>
        <v/>
      </c>
      <c r="AE165" s="93" t="str">
        <f>IF($R165&lt;&gt;"OK","",$AD165-$N165)</f>
        <v/>
      </c>
      <c r="AF165" s="79" t="str">
        <f>IF($R165&lt;&gt;"OK","",IF($AB165=0,"No order needed",IF($AE165&gt;=$AS165,"Order by the deadline",IF(AND($O165&lt;&gt;"Domestic",Setup!$D$27-$N165&gt;=$AS165),"Late by this mode: fly it",IF(Setup!$D$28-$N165&gt;=$AS165,"Late: Express courier only",IF($AG165&lt;Setup!$C$5,"Tight: lands before Black Friday",IF(AND($O165&lt;&gt;"Domestic",$AT165&lt;Setup!$C$5),"Tight: by Air lands before Black Friday",IF($AS165+$N165+Setup!$C$28+Setup!$C$11&lt;Setup!$C$5,"Tight: by Express lands before Black Friday","Too late: ration"))))))))</f>
        <v/>
      </c>
      <c r="AG165" s="93" t="str">
        <f>IF($R165&lt;&gt;"OK","",IF($AB165=0,"",$AS165+$N165+INDEX(Setup!$C$25:$C$29,MATCH($O165,Setup!$B$25:$B$29,0))+Setup!$C$11))</f>
        <v/>
      </c>
      <c r="AH165" s="93" t="str">
        <f>IF($R165&lt;&gt;"OK","",IF($F165&lt;=0,"",INT(IF($K165&lt;($F165*MAX(0,(Setup!$C$5-Setup!$C$7)-Setup!$C$4)),Setup!$C$4+$K165/$F165,IF($K165&lt;($F165*MAX(0,(Setup!$C$5-Setup!$C$7)-Setup!$C$4))+($F165*Setup!$C$8*MAX(0,Setup!$C$5-MAX((Setup!$C$5-Setup!$C$7),Setup!$C$4))),MAX((Setup!$C$5-Setup!$C$7),Setup!$C$4)+($K165-($F165*MAX(0,(Setup!$C$5-Setup!$C$7)-Setup!$C$4)))/($F165*Setup!$C$8),IF(AND($W165&gt;0,$K165&lt;($F165*MAX(0,(Setup!$C$5-Setup!$C$7)-Setup!$C$4))+($F165*Setup!$C$8*MAX(0,Setup!$C$5-MAX((Setup!$C$5-Setup!$C$7),Setup!$C$4)))+($W165/4*MAX(0,Setup!$C$5+4-MAX(Setup!$C$5,Setup!$C$4)))),MAX(Setup!$C$5,Setup!$C$4)+($K165-($F165*MAX(0,(Setup!$C$5-Setup!$C$7)-Setup!$C$4))-($F165*Setup!$C$8*MAX(0,Setup!$C$5-MAX((Setup!$C$5-Setup!$C$7),Setup!$C$4))))/($W165/4),MAX(Setup!$C$5+4,Setup!$C$4)+($K165-($F165*MAX(0,(Setup!$C$5-Setup!$C$7)-Setup!$C$4))-($F165*Setup!$C$8*MAX(0,Setup!$C$5-MAX((Setup!$C$5-Setup!$C$7),Setup!$C$4)))-($W165/4*MAX(0,Setup!$C$5+4-MAX(Setup!$C$5,Setup!$C$4))))/($F165*Setup!$C$14)))))))</f>
        <v/>
      </c>
      <c r="AI165" s="79" t="str">
        <f>IF($R165&lt;&gt;"OK","",IF(AND($L165&lt;&gt;"",$L165&gt;0,ISNUMBER($AH165),$M165&gt;$AH165),"Runs out before the incoming delivery arrives",IF($AB165=0,"OK",IF($K165+IF(AND($L165&lt;&gt;"",$L165&gt;0),IF($M165&lt;=$AG165,$L165,0),0)&lt;($F165*MAX(0,MIN($AG165,(Setup!$C$5-Setup!$C$7))-Setup!$C$4)+$F165*Setup!$C$8*MAX(0,MIN($AG165,Setup!$C$5)-MAX((Setup!$C$5-Setup!$C$7),Setup!$C$4))+$W165/4*MAX(0,MIN($AG165,Setup!$C$5+4)-MAX(Setup!$C$5,Setup!$C$4))+$F165*Setup!$C$14*MAX(0,$AG165-MAX(Setup!$C$5+4,Setup!$C$4))),"Runs out before this order can land","OK"))))</f>
        <v/>
      </c>
      <c r="AJ165" s="78" t="str">
        <f>IF($R165&lt;&gt;"OK","",IF($AB165=0,0,IF($AL165="Too slow: send it all fast",$AB165,$AR165)))</f>
        <v/>
      </c>
      <c r="AK165" s="78" t="str">
        <f>IF($R165&lt;&gt;"OK","",$AB165-$AJ165)</f>
        <v/>
      </c>
      <c r="AL165" s="78" t="str">
        <f>IF($R165&lt;&gt;"OK","",IF($AB165=0,"",IF($AB165-$AR165=0,"Nothing left over",IF($O165="Domestic",IF($AG165&lt;=Setup!$C$6+Setup!$C$20+1,"Later units can go by Domestic","Too slow: send it all fast"),IF($AS165+$N165+Setup!$C$25+Setup!$C$11&lt;=Setup!$C$6+Setup!$C$20+1,"Later units can go by Ocean long",IF($AS165+$N165+Setup!$C$26+Setup!$C$11&lt;=Setup!$C$6+Setup!$C$20+1,"Later units can go by Ocean short",IF($AS165+$N165+Setup!$C$27+Setup!$C$11&lt;=Setup!$C$6+Setup!$C$20+1,"Later units can go by Air",IF($AS165+$N165+Setup!$C$28+Setup!$C$11&lt;=Setup!$C$6+Setup!$C$20+1,"Later units can go by Express","Too slow: send it all fast"))))))))</f>
        <v/>
      </c>
      <c r="AM165" s="94" t="str">
        <f>IF($R165&lt;&gt;"OK","",$E165-$D165)</f>
        <v/>
      </c>
      <c r="AN165" s="95" t="str">
        <f>IF($R165&lt;&gt;"OK","",($E165-$D165)/$D165)</f>
        <v/>
      </c>
      <c r="AO165" s="95" t="str">
        <f>IF($R165&lt;&gt;"OK","",IF($AB165&gt;0,$AN165+IF($C165="Evergreen",1000,0),""))</f>
        <v/>
      </c>
      <c r="AP165" s="78" t="str">
        <f>IF(OR($R165&lt;&gt;"OK",$AO165=""),"",COUNTIF($AO$6:$AO$205,"&gt;"&amp;$AO165)+COUNTIF($AO$6:$AO165,$AO165))</f>
        <v/>
      </c>
      <c r="AQ165" s="78" t="str">
        <f>IF(OR($R165&lt;&gt;"OK",$AP165=""),"",INDEX('Buy list'!$G$5:$G$204,$AP165))</f>
        <v/>
      </c>
      <c r="AR165" s="78" t="str">
        <f>IF($R165&lt;&gt;"OK","",IF($AB165=0,0,MIN($AB165,CEILING(MAX(0,($F165*MAX(0,MIN((Setup!$C$6+1+Setup!$C$20),(Setup!$C$5-Setup!$C$7))-Setup!$C$4)+$F165*Setup!$C$8*MAX(0,MIN((Setup!$C$6+1+Setup!$C$20),Setup!$C$5)-MAX((Setup!$C$5-Setup!$C$7),Setup!$C$4))+$W165/4*MAX(0,MIN((Setup!$C$6+1+Setup!$C$20),Setup!$C$5+4)-MAX(Setup!$C$5,Setup!$C$4))+$F165*Setup!$C$14*MAX(0,(Setup!$C$6+1+Setup!$C$20)-MAX(Setup!$C$5+4,Setup!$C$4)))+$Y165-$K165-IF(AND($L165&lt;&gt;"",$L165&gt;0),IF($M165&lt;=Setup!$C$10,$L165,0),0)),IF(OR($P165="",$P165&lt;=0),1,$P165)))))</f>
        <v/>
      </c>
      <c r="AS165" s="96" t="str">
        <f>IF($R165&lt;&gt;"OK","",IF(AND($O165&lt;&gt;"Domestic",ISNUMBER(Setup!$C$22),Setup!$C$22&gt;Setup!$C$4),Setup!$C$22,Setup!$C$4))</f>
        <v/>
      </c>
      <c r="AT165" s="96" t="str">
        <f>IF($R165&lt;&gt;"OK","",IF($AB165=0,"",IF($O165="Domestic",$AG165,$AS165+$N165+Setup!$C$27+Setup!$C$11)))</f>
        <v/>
      </c>
    </row>
    <row r="166" ht="15" customHeight="1" s="46">
      <c r="A166" s="70" t="n"/>
      <c r="B166" s="70" t="n"/>
      <c r="C166" s="70" t="n"/>
      <c r="D166" s="85" t="n"/>
      <c r="E166" s="85" t="n"/>
      <c r="F166" s="86" t="n"/>
      <c r="G166" s="87" t="n"/>
      <c r="H166" s="88" t="n"/>
      <c r="I166" s="89" t="n"/>
      <c r="J166" s="90" t="n"/>
      <c r="K166" s="87" t="n"/>
      <c r="L166" s="87" t="n"/>
      <c r="M166" s="91" t="n"/>
      <c r="N166" s="92" t="n"/>
      <c r="O166" s="70" t="n"/>
      <c r="P166" s="92" t="n"/>
      <c r="Q166" s="87" t="n"/>
      <c r="R166" s="79" t="str">
        <f>IF($A166="","",IF($C166="","Missing: type",IF(OR($D166="",$D166&lt;=0),"Missing: unit cost",IF($E166="","Missing: unit price",IF($F166="","Missing: daily sales",IF($K166="","Missing: on hand",IF($N166="","Missing: production days",IF($O166="","Missing: freight mode",IF(ISNA(MATCH($O166,Setup!$B$25:$B$29,0)),"Unknown freight mode",IF(AND($L166&lt;&gt;"",$L166&gt;0,$M166=""),"Missing: on-order arrival date","OK"))))))))))</f>
        <v/>
      </c>
      <c r="S166" s="78" t="str">
        <f>IF($R166&lt;&gt;"OK","",IF($G166="","",ROUND($G166/IF(OR($H166="",$H166&lt;=0),4,$H166)*4,0)))</f>
        <v/>
      </c>
      <c r="T166" s="78" t="str">
        <f>IF($R166&lt;&gt;"OK","",ROUND(IF($G166="",$F166*4*Setup!$C$19,$G166/IF(OR($H166="",$H166&lt;=0),4,$H166)*4*(1+IF($I166="",Setup!$C$16,$I166)))*IF($J166="",1,$J166),0))</f>
        <v/>
      </c>
      <c r="U166" s="78" t="str">
        <f>IF($R166&lt;&gt;"OK","",ROUND($T166*Setup!$C$17,0))</f>
        <v/>
      </c>
      <c r="V166" s="78" t="str">
        <f>IF($R166&lt;&gt;"OK","",ROUND($T166*Setup!$C$18,0))</f>
        <v/>
      </c>
      <c r="W166" s="78" t="str">
        <f>IF($R166&lt;&gt;"OK","",IF($C166="Evergreen",$V166,IF($C166="Seasonal or new",$U166,$T166)))</f>
        <v/>
      </c>
      <c r="X166" s="78" t="str">
        <f>IF($R166&lt;&gt;"OK","",ROUND(($F166*MAX(0,MIN(Setup!$C$13+1,(Setup!$C$5-Setup!$C$7))-Setup!$C$4)+$F166*Setup!$C$8*MAX(0,MIN(Setup!$C$13+1,Setup!$C$5)-MAX((Setup!$C$5-Setup!$C$7),Setup!$C$4))+$W166/4*MAX(0,MIN(Setup!$C$13+1,Setup!$C$5+4)-MAX(Setup!$C$5,Setup!$C$4))+$F166*Setup!$C$14*MAX(0,Setup!$C$13+1-MAX(Setup!$C$5+4,Setup!$C$4))),0))</f>
        <v/>
      </c>
      <c r="Y166" s="78" t="str">
        <f>IF($R166&lt;&gt;"OK","",ROUND($F166*Setup!$C$15,0))</f>
        <v/>
      </c>
      <c r="Z166" s="78" t="str">
        <f>IF($R166&lt;&gt;"OK","",IF(AND($L166&lt;&gt;"",$L166&gt;0),IF($M166&lt;=Setup!$C$13,$L166,0),0))</f>
        <v/>
      </c>
      <c r="AA166" s="78" t="str">
        <f>IF($R166&lt;&gt;"OK","",MAX(0,$X166+$Y166-$K166-$Z166))</f>
        <v/>
      </c>
      <c r="AB166" s="78" t="str">
        <f>IF($R166&lt;&gt;"OK","",IF($AA166=0,0,CEILING(MAX($AA166,IF($Q166="",0,$Q166)),IF(OR($P166="",$P166&lt;=0),1,$P166))))</f>
        <v/>
      </c>
      <c r="AC166" s="78" t="str">
        <f>IF($R166&lt;&gt;"OK","",$AB166*$D166)</f>
        <v/>
      </c>
      <c r="AD166" s="93" t="str">
        <f>IF($R166&lt;&gt;"OK","",INDEX(Setup!$D$25:$D$29,MATCH($O166,Setup!$B$25:$B$29,0)))</f>
        <v/>
      </c>
      <c r="AE166" s="93" t="str">
        <f>IF($R166&lt;&gt;"OK","",$AD166-$N166)</f>
        <v/>
      </c>
      <c r="AF166" s="79" t="str">
        <f>IF($R166&lt;&gt;"OK","",IF($AB166=0,"No order needed",IF($AE166&gt;=$AS166,"Order by the deadline",IF(AND($O166&lt;&gt;"Domestic",Setup!$D$27-$N166&gt;=$AS166),"Late by this mode: fly it",IF(Setup!$D$28-$N166&gt;=$AS166,"Late: Express courier only",IF($AG166&lt;Setup!$C$5,"Tight: lands before Black Friday",IF(AND($O166&lt;&gt;"Domestic",$AT166&lt;Setup!$C$5),"Tight: by Air lands before Black Friday",IF($AS166+$N166+Setup!$C$28+Setup!$C$11&lt;Setup!$C$5,"Tight: by Express lands before Black Friday","Too late: ration"))))))))</f>
        <v/>
      </c>
      <c r="AG166" s="93" t="str">
        <f>IF($R166&lt;&gt;"OK","",IF($AB166=0,"",$AS166+$N166+INDEX(Setup!$C$25:$C$29,MATCH($O166,Setup!$B$25:$B$29,0))+Setup!$C$11))</f>
        <v/>
      </c>
      <c r="AH166" s="93" t="str">
        <f>IF($R166&lt;&gt;"OK","",IF($F166&lt;=0,"",INT(IF($K166&lt;($F166*MAX(0,(Setup!$C$5-Setup!$C$7)-Setup!$C$4)),Setup!$C$4+$K166/$F166,IF($K166&lt;($F166*MAX(0,(Setup!$C$5-Setup!$C$7)-Setup!$C$4))+($F166*Setup!$C$8*MAX(0,Setup!$C$5-MAX((Setup!$C$5-Setup!$C$7),Setup!$C$4))),MAX((Setup!$C$5-Setup!$C$7),Setup!$C$4)+($K166-($F166*MAX(0,(Setup!$C$5-Setup!$C$7)-Setup!$C$4)))/($F166*Setup!$C$8),IF(AND($W166&gt;0,$K166&lt;($F166*MAX(0,(Setup!$C$5-Setup!$C$7)-Setup!$C$4))+($F166*Setup!$C$8*MAX(0,Setup!$C$5-MAX((Setup!$C$5-Setup!$C$7),Setup!$C$4)))+($W166/4*MAX(0,Setup!$C$5+4-MAX(Setup!$C$5,Setup!$C$4)))),MAX(Setup!$C$5,Setup!$C$4)+($K166-($F166*MAX(0,(Setup!$C$5-Setup!$C$7)-Setup!$C$4))-($F166*Setup!$C$8*MAX(0,Setup!$C$5-MAX((Setup!$C$5-Setup!$C$7),Setup!$C$4))))/($W166/4),MAX(Setup!$C$5+4,Setup!$C$4)+($K166-($F166*MAX(0,(Setup!$C$5-Setup!$C$7)-Setup!$C$4))-($F166*Setup!$C$8*MAX(0,Setup!$C$5-MAX((Setup!$C$5-Setup!$C$7),Setup!$C$4)))-($W166/4*MAX(0,Setup!$C$5+4-MAX(Setup!$C$5,Setup!$C$4))))/($F166*Setup!$C$14)))))))</f>
        <v/>
      </c>
      <c r="AI166" s="79" t="str">
        <f>IF($R166&lt;&gt;"OK","",IF(AND($L166&lt;&gt;"",$L166&gt;0,ISNUMBER($AH166),$M166&gt;$AH166),"Runs out before the incoming delivery arrives",IF($AB166=0,"OK",IF($K166+IF(AND($L166&lt;&gt;"",$L166&gt;0),IF($M166&lt;=$AG166,$L166,0),0)&lt;($F166*MAX(0,MIN($AG166,(Setup!$C$5-Setup!$C$7))-Setup!$C$4)+$F166*Setup!$C$8*MAX(0,MIN($AG166,Setup!$C$5)-MAX((Setup!$C$5-Setup!$C$7),Setup!$C$4))+$W166/4*MAX(0,MIN($AG166,Setup!$C$5+4)-MAX(Setup!$C$5,Setup!$C$4))+$F166*Setup!$C$14*MAX(0,$AG166-MAX(Setup!$C$5+4,Setup!$C$4))),"Runs out before this order can land","OK"))))</f>
        <v/>
      </c>
      <c r="AJ166" s="78" t="str">
        <f>IF($R166&lt;&gt;"OK","",IF($AB166=0,0,IF($AL166="Too slow: send it all fast",$AB166,$AR166)))</f>
        <v/>
      </c>
      <c r="AK166" s="78" t="str">
        <f>IF($R166&lt;&gt;"OK","",$AB166-$AJ166)</f>
        <v/>
      </c>
      <c r="AL166" s="78" t="str">
        <f>IF($R166&lt;&gt;"OK","",IF($AB166=0,"",IF($AB166-$AR166=0,"Nothing left over",IF($O166="Domestic",IF($AG166&lt;=Setup!$C$6+Setup!$C$20+1,"Later units can go by Domestic","Too slow: send it all fast"),IF($AS166+$N166+Setup!$C$25+Setup!$C$11&lt;=Setup!$C$6+Setup!$C$20+1,"Later units can go by Ocean long",IF($AS166+$N166+Setup!$C$26+Setup!$C$11&lt;=Setup!$C$6+Setup!$C$20+1,"Later units can go by Ocean short",IF($AS166+$N166+Setup!$C$27+Setup!$C$11&lt;=Setup!$C$6+Setup!$C$20+1,"Later units can go by Air",IF($AS166+$N166+Setup!$C$28+Setup!$C$11&lt;=Setup!$C$6+Setup!$C$20+1,"Later units can go by Express","Too slow: send it all fast"))))))))</f>
        <v/>
      </c>
      <c r="AM166" s="94" t="str">
        <f>IF($R166&lt;&gt;"OK","",$E166-$D166)</f>
        <v/>
      </c>
      <c r="AN166" s="95" t="str">
        <f>IF($R166&lt;&gt;"OK","",($E166-$D166)/$D166)</f>
        <v/>
      </c>
      <c r="AO166" s="95" t="str">
        <f>IF($R166&lt;&gt;"OK","",IF($AB166&gt;0,$AN166+IF($C166="Evergreen",1000,0),""))</f>
        <v/>
      </c>
      <c r="AP166" s="78" t="str">
        <f>IF(OR($R166&lt;&gt;"OK",$AO166=""),"",COUNTIF($AO$6:$AO$205,"&gt;"&amp;$AO166)+COUNTIF($AO$6:$AO166,$AO166))</f>
        <v/>
      </c>
      <c r="AQ166" s="78" t="str">
        <f>IF(OR($R166&lt;&gt;"OK",$AP166=""),"",INDEX('Buy list'!$G$5:$G$204,$AP166))</f>
        <v/>
      </c>
      <c r="AR166" s="78" t="str">
        <f>IF($R166&lt;&gt;"OK","",IF($AB166=0,0,MIN($AB166,CEILING(MAX(0,($F166*MAX(0,MIN((Setup!$C$6+1+Setup!$C$20),(Setup!$C$5-Setup!$C$7))-Setup!$C$4)+$F166*Setup!$C$8*MAX(0,MIN((Setup!$C$6+1+Setup!$C$20),Setup!$C$5)-MAX((Setup!$C$5-Setup!$C$7),Setup!$C$4))+$W166/4*MAX(0,MIN((Setup!$C$6+1+Setup!$C$20),Setup!$C$5+4)-MAX(Setup!$C$5,Setup!$C$4))+$F166*Setup!$C$14*MAX(0,(Setup!$C$6+1+Setup!$C$20)-MAX(Setup!$C$5+4,Setup!$C$4)))+$Y166-$K166-IF(AND($L166&lt;&gt;"",$L166&gt;0),IF($M166&lt;=Setup!$C$10,$L166,0),0)),IF(OR($P166="",$P166&lt;=0),1,$P166)))))</f>
        <v/>
      </c>
      <c r="AS166" s="96" t="str">
        <f>IF($R166&lt;&gt;"OK","",IF(AND($O166&lt;&gt;"Domestic",ISNUMBER(Setup!$C$22),Setup!$C$22&gt;Setup!$C$4),Setup!$C$22,Setup!$C$4))</f>
        <v/>
      </c>
      <c r="AT166" s="96" t="str">
        <f>IF($R166&lt;&gt;"OK","",IF($AB166=0,"",IF($O166="Domestic",$AG166,$AS166+$N166+Setup!$C$27+Setup!$C$11)))</f>
        <v/>
      </c>
    </row>
    <row r="167" ht="15" customHeight="1" s="46">
      <c r="A167" s="70" t="n"/>
      <c r="B167" s="70" t="n"/>
      <c r="C167" s="70" t="n"/>
      <c r="D167" s="85" t="n"/>
      <c r="E167" s="85" t="n"/>
      <c r="F167" s="86" t="n"/>
      <c r="G167" s="87" t="n"/>
      <c r="H167" s="88" t="n"/>
      <c r="I167" s="89" t="n"/>
      <c r="J167" s="90" t="n"/>
      <c r="K167" s="87" t="n"/>
      <c r="L167" s="87" t="n"/>
      <c r="M167" s="91" t="n"/>
      <c r="N167" s="92" t="n"/>
      <c r="O167" s="70" t="n"/>
      <c r="P167" s="92" t="n"/>
      <c r="Q167" s="87" t="n"/>
      <c r="R167" s="79" t="str">
        <f>IF($A167="","",IF($C167="","Missing: type",IF(OR($D167="",$D167&lt;=0),"Missing: unit cost",IF($E167="","Missing: unit price",IF($F167="","Missing: daily sales",IF($K167="","Missing: on hand",IF($N167="","Missing: production days",IF($O167="","Missing: freight mode",IF(ISNA(MATCH($O167,Setup!$B$25:$B$29,0)),"Unknown freight mode",IF(AND($L167&lt;&gt;"",$L167&gt;0,$M167=""),"Missing: on-order arrival date","OK"))))))))))</f>
        <v/>
      </c>
      <c r="S167" s="78" t="str">
        <f>IF($R167&lt;&gt;"OK","",IF($G167="","",ROUND($G167/IF(OR($H167="",$H167&lt;=0),4,$H167)*4,0)))</f>
        <v/>
      </c>
      <c r="T167" s="78" t="str">
        <f>IF($R167&lt;&gt;"OK","",ROUND(IF($G167="",$F167*4*Setup!$C$19,$G167/IF(OR($H167="",$H167&lt;=0),4,$H167)*4*(1+IF($I167="",Setup!$C$16,$I167)))*IF($J167="",1,$J167),0))</f>
        <v/>
      </c>
      <c r="U167" s="78" t="str">
        <f>IF($R167&lt;&gt;"OK","",ROUND($T167*Setup!$C$17,0))</f>
        <v/>
      </c>
      <c r="V167" s="78" t="str">
        <f>IF($R167&lt;&gt;"OK","",ROUND($T167*Setup!$C$18,0))</f>
        <v/>
      </c>
      <c r="W167" s="78" t="str">
        <f>IF($R167&lt;&gt;"OK","",IF($C167="Evergreen",$V167,IF($C167="Seasonal or new",$U167,$T167)))</f>
        <v/>
      </c>
      <c r="X167" s="78" t="str">
        <f>IF($R167&lt;&gt;"OK","",ROUND(($F167*MAX(0,MIN(Setup!$C$13+1,(Setup!$C$5-Setup!$C$7))-Setup!$C$4)+$F167*Setup!$C$8*MAX(0,MIN(Setup!$C$13+1,Setup!$C$5)-MAX((Setup!$C$5-Setup!$C$7),Setup!$C$4))+$W167/4*MAX(0,MIN(Setup!$C$13+1,Setup!$C$5+4)-MAX(Setup!$C$5,Setup!$C$4))+$F167*Setup!$C$14*MAX(0,Setup!$C$13+1-MAX(Setup!$C$5+4,Setup!$C$4))),0))</f>
        <v/>
      </c>
      <c r="Y167" s="78" t="str">
        <f>IF($R167&lt;&gt;"OK","",ROUND($F167*Setup!$C$15,0))</f>
        <v/>
      </c>
      <c r="Z167" s="78" t="str">
        <f>IF($R167&lt;&gt;"OK","",IF(AND($L167&lt;&gt;"",$L167&gt;0),IF($M167&lt;=Setup!$C$13,$L167,0),0))</f>
        <v/>
      </c>
      <c r="AA167" s="78" t="str">
        <f>IF($R167&lt;&gt;"OK","",MAX(0,$X167+$Y167-$K167-$Z167))</f>
        <v/>
      </c>
      <c r="AB167" s="78" t="str">
        <f>IF($R167&lt;&gt;"OK","",IF($AA167=0,0,CEILING(MAX($AA167,IF($Q167="",0,$Q167)),IF(OR($P167="",$P167&lt;=0),1,$P167))))</f>
        <v/>
      </c>
      <c r="AC167" s="78" t="str">
        <f>IF($R167&lt;&gt;"OK","",$AB167*$D167)</f>
        <v/>
      </c>
      <c r="AD167" s="93" t="str">
        <f>IF($R167&lt;&gt;"OK","",INDEX(Setup!$D$25:$D$29,MATCH($O167,Setup!$B$25:$B$29,0)))</f>
        <v/>
      </c>
      <c r="AE167" s="93" t="str">
        <f>IF($R167&lt;&gt;"OK","",$AD167-$N167)</f>
        <v/>
      </c>
      <c r="AF167" s="79" t="str">
        <f>IF($R167&lt;&gt;"OK","",IF($AB167=0,"No order needed",IF($AE167&gt;=$AS167,"Order by the deadline",IF(AND($O167&lt;&gt;"Domestic",Setup!$D$27-$N167&gt;=$AS167),"Late by this mode: fly it",IF(Setup!$D$28-$N167&gt;=$AS167,"Late: Express courier only",IF($AG167&lt;Setup!$C$5,"Tight: lands before Black Friday",IF(AND($O167&lt;&gt;"Domestic",$AT167&lt;Setup!$C$5),"Tight: by Air lands before Black Friday",IF($AS167+$N167+Setup!$C$28+Setup!$C$11&lt;Setup!$C$5,"Tight: by Express lands before Black Friday","Too late: ration"))))))))</f>
        <v/>
      </c>
      <c r="AG167" s="93" t="str">
        <f>IF($R167&lt;&gt;"OK","",IF($AB167=0,"",$AS167+$N167+INDEX(Setup!$C$25:$C$29,MATCH($O167,Setup!$B$25:$B$29,0))+Setup!$C$11))</f>
        <v/>
      </c>
      <c r="AH167" s="93" t="str">
        <f>IF($R167&lt;&gt;"OK","",IF($F167&lt;=0,"",INT(IF($K167&lt;($F167*MAX(0,(Setup!$C$5-Setup!$C$7)-Setup!$C$4)),Setup!$C$4+$K167/$F167,IF($K167&lt;($F167*MAX(0,(Setup!$C$5-Setup!$C$7)-Setup!$C$4))+($F167*Setup!$C$8*MAX(0,Setup!$C$5-MAX((Setup!$C$5-Setup!$C$7),Setup!$C$4))),MAX((Setup!$C$5-Setup!$C$7),Setup!$C$4)+($K167-($F167*MAX(0,(Setup!$C$5-Setup!$C$7)-Setup!$C$4)))/($F167*Setup!$C$8),IF(AND($W167&gt;0,$K167&lt;($F167*MAX(0,(Setup!$C$5-Setup!$C$7)-Setup!$C$4))+($F167*Setup!$C$8*MAX(0,Setup!$C$5-MAX((Setup!$C$5-Setup!$C$7),Setup!$C$4)))+($W167/4*MAX(0,Setup!$C$5+4-MAX(Setup!$C$5,Setup!$C$4)))),MAX(Setup!$C$5,Setup!$C$4)+($K167-($F167*MAX(0,(Setup!$C$5-Setup!$C$7)-Setup!$C$4))-($F167*Setup!$C$8*MAX(0,Setup!$C$5-MAX((Setup!$C$5-Setup!$C$7),Setup!$C$4))))/($W167/4),MAX(Setup!$C$5+4,Setup!$C$4)+($K167-($F167*MAX(0,(Setup!$C$5-Setup!$C$7)-Setup!$C$4))-($F167*Setup!$C$8*MAX(0,Setup!$C$5-MAX((Setup!$C$5-Setup!$C$7),Setup!$C$4)))-($W167/4*MAX(0,Setup!$C$5+4-MAX(Setup!$C$5,Setup!$C$4))))/($F167*Setup!$C$14)))))))</f>
        <v/>
      </c>
      <c r="AI167" s="79" t="str">
        <f>IF($R167&lt;&gt;"OK","",IF(AND($L167&lt;&gt;"",$L167&gt;0,ISNUMBER($AH167),$M167&gt;$AH167),"Runs out before the incoming delivery arrives",IF($AB167=0,"OK",IF($K167+IF(AND($L167&lt;&gt;"",$L167&gt;0),IF($M167&lt;=$AG167,$L167,0),0)&lt;($F167*MAX(0,MIN($AG167,(Setup!$C$5-Setup!$C$7))-Setup!$C$4)+$F167*Setup!$C$8*MAX(0,MIN($AG167,Setup!$C$5)-MAX((Setup!$C$5-Setup!$C$7),Setup!$C$4))+$W167/4*MAX(0,MIN($AG167,Setup!$C$5+4)-MAX(Setup!$C$5,Setup!$C$4))+$F167*Setup!$C$14*MAX(0,$AG167-MAX(Setup!$C$5+4,Setup!$C$4))),"Runs out before this order can land","OK"))))</f>
        <v/>
      </c>
      <c r="AJ167" s="78" t="str">
        <f>IF($R167&lt;&gt;"OK","",IF($AB167=0,0,IF($AL167="Too slow: send it all fast",$AB167,$AR167)))</f>
        <v/>
      </c>
      <c r="AK167" s="78" t="str">
        <f>IF($R167&lt;&gt;"OK","",$AB167-$AJ167)</f>
        <v/>
      </c>
      <c r="AL167" s="78" t="str">
        <f>IF($R167&lt;&gt;"OK","",IF($AB167=0,"",IF($AB167-$AR167=0,"Nothing left over",IF($O167="Domestic",IF($AG167&lt;=Setup!$C$6+Setup!$C$20+1,"Later units can go by Domestic","Too slow: send it all fast"),IF($AS167+$N167+Setup!$C$25+Setup!$C$11&lt;=Setup!$C$6+Setup!$C$20+1,"Later units can go by Ocean long",IF($AS167+$N167+Setup!$C$26+Setup!$C$11&lt;=Setup!$C$6+Setup!$C$20+1,"Later units can go by Ocean short",IF($AS167+$N167+Setup!$C$27+Setup!$C$11&lt;=Setup!$C$6+Setup!$C$20+1,"Later units can go by Air",IF($AS167+$N167+Setup!$C$28+Setup!$C$11&lt;=Setup!$C$6+Setup!$C$20+1,"Later units can go by Express","Too slow: send it all fast"))))))))</f>
        <v/>
      </c>
      <c r="AM167" s="94" t="str">
        <f>IF($R167&lt;&gt;"OK","",$E167-$D167)</f>
        <v/>
      </c>
      <c r="AN167" s="95" t="str">
        <f>IF($R167&lt;&gt;"OK","",($E167-$D167)/$D167)</f>
        <v/>
      </c>
      <c r="AO167" s="95" t="str">
        <f>IF($R167&lt;&gt;"OK","",IF($AB167&gt;0,$AN167+IF($C167="Evergreen",1000,0),""))</f>
        <v/>
      </c>
      <c r="AP167" s="78" t="str">
        <f>IF(OR($R167&lt;&gt;"OK",$AO167=""),"",COUNTIF($AO$6:$AO$205,"&gt;"&amp;$AO167)+COUNTIF($AO$6:$AO167,$AO167))</f>
        <v/>
      </c>
      <c r="AQ167" s="78" t="str">
        <f>IF(OR($R167&lt;&gt;"OK",$AP167=""),"",INDEX('Buy list'!$G$5:$G$204,$AP167))</f>
        <v/>
      </c>
      <c r="AR167" s="78" t="str">
        <f>IF($R167&lt;&gt;"OK","",IF($AB167=0,0,MIN($AB167,CEILING(MAX(0,($F167*MAX(0,MIN((Setup!$C$6+1+Setup!$C$20),(Setup!$C$5-Setup!$C$7))-Setup!$C$4)+$F167*Setup!$C$8*MAX(0,MIN((Setup!$C$6+1+Setup!$C$20),Setup!$C$5)-MAX((Setup!$C$5-Setup!$C$7),Setup!$C$4))+$W167/4*MAX(0,MIN((Setup!$C$6+1+Setup!$C$20),Setup!$C$5+4)-MAX(Setup!$C$5,Setup!$C$4))+$F167*Setup!$C$14*MAX(0,(Setup!$C$6+1+Setup!$C$20)-MAX(Setup!$C$5+4,Setup!$C$4)))+$Y167-$K167-IF(AND($L167&lt;&gt;"",$L167&gt;0),IF($M167&lt;=Setup!$C$10,$L167,0),0)),IF(OR($P167="",$P167&lt;=0),1,$P167)))))</f>
        <v/>
      </c>
      <c r="AS167" s="96" t="str">
        <f>IF($R167&lt;&gt;"OK","",IF(AND($O167&lt;&gt;"Domestic",ISNUMBER(Setup!$C$22),Setup!$C$22&gt;Setup!$C$4),Setup!$C$22,Setup!$C$4))</f>
        <v/>
      </c>
      <c r="AT167" s="96" t="str">
        <f>IF($R167&lt;&gt;"OK","",IF($AB167=0,"",IF($O167="Domestic",$AG167,$AS167+$N167+Setup!$C$27+Setup!$C$11)))</f>
        <v/>
      </c>
    </row>
    <row r="168" ht="15" customHeight="1" s="46">
      <c r="A168" s="70" t="n"/>
      <c r="B168" s="70" t="n"/>
      <c r="C168" s="70" t="n"/>
      <c r="D168" s="85" t="n"/>
      <c r="E168" s="85" t="n"/>
      <c r="F168" s="86" t="n"/>
      <c r="G168" s="87" t="n"/>
      <c r="H168" s="88" t="n"/>
      <c r="I168" s="89" t="n"/>
      <c r="J168" s="90" t="n"/>
      <c r="K168" s="87" t="n"/>
      <c r="L168" s="87" t="n"/>
      <c r="M168" s="91" t="n"/>
      <c r="N168" s="92" t="n"/>
      <c r="O168" s="70" t="n"/>
      <c r="P168" s="92" t="n"/>
      <c r="Q168" s="87" t="n"/>
      <c r="R168" s="79" t="str">
        <f>IF($A168="","",IF($C168="","Missing: type",IF(OR($D168="",$D168&lt;=0),"Missing: unit cost",IF($E168="","Missing: unit price",IF($F168="","Missing: daily sales",IF($K168="","Missing: on hand",IF($N168="","Missing: production days",IF($O168="","Missing: freight mode",IF(ISNA(MATCH($O168,Setup!$B$25:$B$29,0)),"Unknown freight mode",IF(AND($L168&lt;&gt;"",$L168&gt;0,$M168=""),"Missing: on-order arrival date","OK"))))))))))</f>
        <v/>
      </c>
      <c r="S168" s="78" t="str">
        <f>IF($R168&lt;&gt;"OK","",IF($G168="","",ROUND($G168/IF(OR($H168="",$H168&lt;=0),4,$H168)*4,0)))</f>
        <v/>
      </c>
      <c r="T168" s="78" t="str">
        <f>IF($R168&lt;&gt;"OK","",ROUND(IF($G168="",$F168*4*Setup!$C$19,$G168/IF(OR($H168="",$H168&lt;=0),4,$H168)*4*(1+IF($I168="",Setup!$C$16,$I168)))*IF($J168="",1,$J168),0))</f>
        <v/>
      </c>
      <c r="U168" s="78" t="str">
        <f>IF($R168&lt;&gt;"OK","",ROUND($T168*Setup!$C$17,0))</f>
        <v/>
      </c>
      <c r="V168" s="78" t="str">
        <f>IF($R168&lt;&gt;"OK","",ROUND($T168*Setup!$C$18,0))</f>
        <v/>
      </c>
      <c r="W168" s="78" t="str">
        <f>IF($R168&lt;&gt;"OK","",IF($C168="Evergreen",$V168,IF($C168="Seasonal or new",$U168,$T168)))</f>
        <v/>
      </c>
      <c r="X168" s="78" t="str">
        <f>IF($R168&lt;&gt;"OK","",ROUND(($F168*MAX(0,MIN(Setup!$C$13+1,(Setup!$C$5-Setup!$C$7))-Setup!$C$4)+$F168*Setup!$C$8*MAX(0,MIN(Setup!$C$13+1,Setup!$C$5)-MAX((Setup!$C$5-Setup!$C$7),Setup!$C$4))+$W168/4*MAX(0,MIN(Setup!$C$13+1,Setup!$C$5+4)-MAX(Setup!$C$5,Setup!$C$4))+$F168*Setup!$C$14*MAX(0,Setup!$C$13+1-MAX(Setup!$C$5+4,Setup!$C$4))),0))</f>
        <v/>
      </c>
      <c r="Y168" s="78" t="str">
        <f>IF($R168&lt;&gt;"OK","",ROUND($F168*Setup!$C$15,0))</f>
        <v/>
      </c>
      <c r="Z168" s="78" t="str">
        <f>IF($R168&lt;&gt;"OK","",IF(AND($L168&lt;&gt;"",$L168&gt;0),IF($M168&lt;=Setup!$C$13,$L168,0),0))</f>
        <v/>
      </c>
      <c r="AA168" s="78" t="str">
        <f>IF($R168&lt;&gt;"OK","",MAX(0,$X168+$Y168-$K168-$Z168))</f>
        <v/>
      </c>
      <c r="AB168" s="78" t="str">
        <f>IF($R168&lt;&gt;"OK","",IF($AA168=0,0,CEILING(MAX($AA168,IF($Q168="",0,$Q168)),IF(OR($P168="",$P168&lt;=0),1,$P168))))</f>
        <v/>
      </c>
      <c r="AC168" s="78" t="str">
        <f>IF($R168&lt;&gt;"OK","",$AB168*$D168)</f>
        <v/>
      </c>
      <c r="AD168" s="93" t="str">
        <f>IF($R168&lt;&gt;"OK","",INDEX(Setup!$D$25:$D$29,MATCH($O168,Setup!$B$25:$B$29,0)))</f>
        <v/>
      </c>
      <c r="AE168" s="93" t="str">
        <f>IF($R168&lt;&gt;"OK","",$AD168-$N168)</f>
        <v/>
      </c>
      <c r="AF168" s="79" t="str">
        <f>IF($R168&lt;&gt;"OK","",IF($AB168=0,"No order needed",IF($AE168&gt;=$AS168,"Order by the deadline",IF(AND($O168&lt;&gt;"Domestic",Setup!$D$27-$N168&gt;=$AS168),"Late by this mode: fly it",IF(Setup!$D$28-$N168&gt;=$AS168,"Late: Express courier only",IF($AG168&lt;Setup!$C$5,"Tight: lands before Black Friday",IF(AND($O168&lt;&gt;"Domestic",$AT168&lt;Setup!$C$5),"Tight: by Air lands before Black Friday",IF($AS168+$N168+Setup!$C$28+Setup!$C$11&lt;Setup!$C$5,"Tight: by Express lands before Black Friday","Too late: ration"))))))))</f>
        <v/>
      </c>
      <c r="AG168" s="93" t="str">
        <f>IF($R168&lt;&gt;"OK","",IF($AB168=0,"",$AS168+$N168+INDEX(Setup!$C$25:$C$29,MATCH($O168,Setup!$B$25:$B$29,0))+Setup!$C$11))</f>
        <v/>
      </c>
      <c r="AH168" s="93" t="str">
        <f>IF($R168&lt;&gt;"OK","",IF($F168&lt;=0,"",INT(IF($K168&lt;($F168*MAX(0,(Setup!$C$5-Setup!$C$7)-Setup!$C$4)),Setup!$C$4+$K168/$F168,IF($K168&lt;($F168*MAX(0,(Setup!$C$5-Setup!$C$7)-Setup!$C$4))+($F168*Setup!$C$8*MAX(0,Setup!$C$5-MAX((Setup!$C$5-Setup!$C$7),Setup!$C$4))),MAX((Setup!$C$5-Setup!$C$7),Setup!$C$4)+($K168-($F168*MAX(0,(Setup!$C$5-Setup!$C$7)-Setup!$C$4)))/($F168*Setup!$C$8),IF(AND($W168&gt;0,$K168&lt;($F168*MAX(0,(Setup!$C$5-Setup!$C$7)-Setup!$C$4))+($F168*Setup!$C$8*MAX(0,Setup!$C$5-MAX((Setup!$C$5-Setup!$C$7),Setup!$C$4)))+($W168/4*MAX(0,Setup!$C$5+4-MAX(Setup!$C$5,Setup!$C$4)))),MAX(Setup!$C$5,Setup!$C$4)+($K168-($F168*MAX(0,(Setup!$C$5-Setup!$C$7)-Setup!$C$4))-($F168*Setup!$C$8*MAX(0,Setup!$C$5-MAX((Setup!$C$5-Setup!$C$7),Setup!$C$4))))/($W168/4),MAX(Setup!$C$5+4,Setup!$C$4)+($K168-($F168*MAX(0,(Setup!$C$5-Setup!$C$7)-Setup!$C$4))-($F168*Setup!$C$8*MAX(0,Setup!$C$5-MAX((Setup!$C$5-Setup!$C$7),Setup!$C$4)))-($W168/4*MAX(0,Setup!$C$5+4-MAX(Setup!$C$5,Setup!$C$4))))/($F168*Setup!$C$14)))))))</f>
        <v/>
      </c>
      <c r="AI168" s="79" t="str">
        <f>IF($R168&lt;&gt;"OK","",IF(AND($L168&lt;&gt;"",$L168&gt;0,ISNUMBER($AH168),$M168&gt;$AH168),"Runs out before the incoming delivery arrives",IF($AB168=0,"OK",IF($K168+IF(AND($L168&lt;&gt;"",$L168&gt;0),IF($M168&lt;=$AG168,$L168,0),0)&lt;($F168*MAX(0,MIN($AG168,(Setup!$C$5-Setup!$C$7))-Setup!$C$4)+$F168*Setup!$C$8*MAX(0,MIN($AG168,Setup!$C$5)-MAX((Setup!$C$5-Setup!$C$7),Setup!$C$4))+$W168/4*MAX(0,MIN($AG168,Setup!$C$5+4)-MAX(Setup!$C$5,Setup!$C$4))+$F168*Setup!$C$14*MAX(0,$AG168-MAX(Setup!$C$5+4,Setup!$C$4))),"Runs out before this order can land","OK"))))</f>
        <v/>
      </c>
      <c r="AJ168" s="78" t="str">
        <f>IF($R168&lt;&gt;"OK","",IF($AB168=0,0,IF($AL168="Too slow: send it all fast",$AB168,$AR168)))</f>
        <v/>
      </c>
      <c r="AK168" s="78" t="str">
        <f>IF($R168&lt;&gt;"OK","",$AB168-$AJ168)</f>
        <v/>
      </c>
      <c r="AL168" s="78" t="str">
        <f>IF($R168&lt;&gt;"OK","",IF($AB168=0,"",IF($AB168-$AR168=0,"Nothing left over",IF($O168="Domestic",IF($AG168&lt;=Setup!$C$6+Setup!$C$20+1,"Later units can go by Domestic","Too slow: send it all fast"),IF($AS168+$N168+Setup!$C$25+Setup!$C$11&lt;=Setup!$C$6+Setup!$C$20+1,"Later units can go by Ocean long",IF($AS168+$N168+Setup!$C$26+Setup!$C$11&lt;=Setup!$C$6+Setup!$C$20+1,"Later units can go by Ocean short",IF($AS168+$N168+Setup!$C$27+Setup!$C$11&lt;=Setup!$C$6+Setup!$C$20+1,"Later units can go by Air",IF($AS168+$N168+Setup!$C$28+Setup!$C$11&lt;=Setup!$C$6+Setup!$C$20+1,"Later units can go by Express","Too slow: send it all fast"))))))))</f>
        <v/>
      </c>
      <c r="AM168" s="94" t="str">
        <f>IF($R168&lt;&gt;"OK","",$E168-$D168)</f>
        <v/>
      </c>
      <c r="AN168" s="95" t="str">
        <f>IF($R168&lt;&gt;"OK","",($E168-$D168)/$D168)</f>
        <v/>
      </c>
      <c r="AO168" s="95" t="str">
        <f>IF($R168&lt;&gt;"OK","",IF($AB168&gt;0,$AN168+IF($C168="Evergreen",1000,0),""))</f>
        <v/>
      </c>
      <c r="AP168" s="78" t="str">
        <f>IF(OR($R168&lt;&gt;"OK",$AO168=""),"",COUNTIF($AO$6:$AO$205,"&gt;"&amp;$AO168)+COUNTIF($AO$6:$AO168,$AO168))</f>
        <v/>
      </c>
      <c r="AQ168" s="78" t="str">
        <f>IF(OR($R168&lt;&gt;"OK",$AP168=""),"",INDEX('Buy list'!$G$5:$G$204,$AP168))</f>
        <v/>
      </c>
      <c r="AR168" s="78" t="str">
        <f>IF($R168&lt;&gt;"OK","",IF($AB168=0,0,MIN($AB168,CEILING(MAX(0,($F168*MAX(0,MIN((Setup!$C$6+1+Setup!$C$20),(Setup!$C$5-Setup!$C$7))-Setup!$C$4)+$F168*Setup!$C$8*MAX(0,MIN((Setup!$C$6+1+Setup!$C$20),Setup!$C$5)-MAX((Setup!$C$5-Setup!$C$7),Setup!$C$4))+$W168/4*MAX(0,MIN((Setup!$C$6+1+Setup!$C$20),Setup!$C$5+4)-MAX(Setup!$C$5,Setup!$C$4))+$F168*Setup!$C$14*MAX(0,(Setup!$C$6+1+Setup!$C$20)-MAX(Setup!$C$5+4,Setup!$C$4)))+$Y168-$K168-IF(AND($L168&lt;&gt;"",$L168&gt;0),IF($M168&lt;=Setup!$C$10,$L168,0),0)),IF(OR($P168="",$P168&lt;=0),1,$P168)))))</f>
        <v/>
      </c>
      <c r="AS168" s="96" t="str">
        <f>IF($R168&lt;&gt;"OK","",IF(AND($O168&lt;&gt;"Domestic",ISNUMBER(Setup!$C$22),Setup!$C$22&gt;Setup!$C$4),Setup!$C$22,Setup!$C$4))</f>
        <v/>
      </c>
      <c r="AT168" s="96" t="str">
        <f>IF($R168&lt;&gt;"OK","",IF($AB168=0,"",IF($O168="Domestic",$AG168,$AS168+$N168+Setup!$C$27+Setup!$C$11)))</f>
        <v/>
      </c>
    </row>
    <row r="169" ht="15" customHeight="1" s="46">
      <c r="A169" s="70" t="n"/>
      <c r="B169" s="70" t="n"/>
      <c r="C169" s="70" t="n"/>
      <c r="D169" s="85" t="n"/>
      <c r="E169" s="85" t="n"/>
      <c r="F169" s="86" t="n"/>
      <c r="G169" s="87" t="n"/>
      <c r="H169" s="88" t="n"/>
      <c r="I169" s="89" t="n"/>
      <c r="J169" s="90" t="n"/>
      <c r="K169" s="87" t="n"/>
      <c r="L169" s="87" t="n"/>
      <c r="M169" s="91" t="n"/>
      <c r="N169" s="92" t="n"/>
      <c r="O169" s="70" t="n"/>
      <c r="P169" s="92" t="n"/>
      <c r="Q169" s="87" t="n"/>
      <c r="R169" s="79" t="str">
        <f>IF($A169="","",IF($C169="","Missing: type",IF(OR($D169="",$D169&lt;=0),"Missing: unit cost",IF($E169="","Missing: unit price",IF($F169="","Missing: daily sales",IF($K169="","Missing: on hand",IF($N169="","Missing: production days",IF($O169="","Missing: freight mode",IF(ISNA(MATCH($O169,Setup!$B$25:$B$29,0)),"Unknown freight mode",IF(AND($L169&lt;&gt;"",$L169&gt;0,$M169=""),"Missing: on-order arrival date","OK"))))))))))</f>
        <v/>
      </c>
      <c r="S169" s="78" t="str">
        <f>IF($R169&lt;&gt;"OK","",IF($G169="","",ROUND($G169/IF(OR($H169="",$H169&lt;=0),4,$H169)*4,0)))</f>
        <v/>
      </c>
      <c r="T169" s="78" t="str">
        <f>IF($R169&lt;&gt;"OK","",ROUND(IF($G169="",$F169*4*Setup!$C$19,$G169/IF(OR($H169="",$H169&lt;=0),4,$H169)*4*(1+IF($I169="",Setup!$C$16,$I169)))*IF($J169="",1,$J169),0))</f>
        <v/>
      </c>
      <c r="U169" s="78" t="str">
        <f>IF($R169&lt;&gt;"OK","",ROUND($T169*Setup!$C$17,0))</f>
        <v/>
      </c>
      <c r="V169" s="78" t="str">
        <f>IF($R169&lt;&gt;"OK","",ROUND($T169*Setup!$C$18,0))</f>
        <v/>
      </c>
      <c r="W169" s="78" t="str">
        <f>IF($R169&lt;&gt;"OK","",IF($C169="Evergreen",$V169,IF($C169="Seasonal or new",$U169,$T169)))</f>
        <v/>
      </c>
      <c r="X169" s="78" t="str">
        <f>IF($R169&lt;&gt;"OK","",ROUND(($F169*MAX(0,MIN(Setup!$C$13+1,(Setup!$C$5-Setup!$C$7))-Setup!$C$4)+$F169*Setup!$C$8*MAX(0,MIN(Setup!$C$13+1,Setup!$C$5)-MAX((Setup!$C$5-Setup!$C$7),Setup!$C$4))+$W169/4*MAX(0,MIN(Setup!$C$13+1,Setup!$C$5+4)-MAX(Setup!$C$5,Setup!$C$4))+$F169*Setup!$C$14*MAX(0,Setup!$C$13+1-MAX(Setup!$C$5+4,Setup!$C$4))),0))</f>
        <v/>
      </c>
      <c r="Y169" s="78" t="str">
        <f>IF($R169&lt;&gt;"OK","",ROUND($F169*Setup!$C$15,0))</f>
        <v/>
      </c>
      <c r="Z169" s="78" t="str">
        <f>IF($R169&lt;&gt;"OK","",IF(AND($L169&lt;&gt;"",$L169&gt;0),IF($M169&lt;=Setup!$C$13,$L169,0),0))</f>
        <v/>
      </c>
      <c r="AA169" s="78" t="str">
        <f>IF($R169&lt;&gt;"OK","",MAX(0,$X169+$Y169-$K169-$Z169))</f>
        <v/>
      </c>
      <c r="AB169" s="78" t="str">
        <f>IF($R169&lt;&gt;"OK","",IF($AA169=0,0,CEILING(MAX($AA169,IF($Q169="",0,$Q169)),IF(OR($P169="",$P169&lt;=0),1,$P169))))</f>
        <v/>
      </c>
      <c r="AC169" s="78" t="str">
        <f>IF($R169&lt;&gt;"OK","",$AB169*$D169)</f>
        <v/>
      </c>
      <c r="AD169" s="93" t="str">
        <f>IF($R169&lt;&gt;"OK","",INDEX(Setup!$D$25:$D$29,MATCH($O169,Setup!$B$25:$B$29,0)))</f>
        <v/>
      </c>
      <c r="AE169" s="93" t="str">
        <f>IF($R169&lt;&gt;"OK","",$AD169-$N169)</f>
        <v/>
      </c>
      <c r="AF169" s="79" t="str">
        <f>IF($R169&lt;&gt;"OK","",IF($AB169=0,"No order needed",IF($AE169&gt;=$AS169,"Order by the deadline",IF(AND($O169&lt;&gt;"Domestic",Setup!$D$27-$N169&gt;=$AS169),"Late by this mode: fly it",IF(Setup!$D$28-$N169&gt;=$AS169,"Late: Express courier only",IF($AG169&lt;Setup!$C$5,"Tight: lands before Black Friday",IF(AND($O169&lt;&gt;"Domestic",$AT169&lt;Setup!$C$5),"Tight: by Air lands before Black Friday",IF($AS169+$N169+Setup!$C$28+Setup!$C$11&lt;Setup!$C$5,"Tight: by Express lands before Black Friday","Too late: ration"))))))))</f>
        <v/>
      </c>
      <c r="AG169" s="93" t="str">
        <f>IF($R169&lt;&gt;"OK","",IF($AB169=0,"",$AS169+$N169+INDEX(Setup!$C$25:$C$29,MATCH($O169,Setup!$B$25:$B$29,0))+Setup!$C$11))</f>
        <v/>
      </c>
      <c r="AH169" s="93" t="str">
        <f>IF($R169&lt;&gt;"OK","",IF($F169&lt;=0,"",INT(IF($K169&lt;($F169*MAX(0,(Setup!$C$5-Setup!$C$7)-Setup!$C$4)),Setup!$C$4+$K169/$F169,IF($K169&lt;($F169*MAX(0,(Setup!$C$5-Setup!$C$7)-Setup!$C$4))+($F169*Setup!$C$8*MAX(0,Setup!$C$5-MAX((Setup!$C$5-Setup!$C$7),Setup!$C$4))),MAX((Setup!$C$5-Setup!$C$7),Setup!$C$4)+($K169-($F169*MAX(0,(Setup!$C$5-Setup!$C$7)-Setup!$C$4)))/($F169*Setup!$C$8),IF(AND($W169&gt;0,$K169&lt;($F169*MAX(0,(Setup!$C$5-Setup!$C$7)-Setup!$C$4))+($F169*Setup!$C$8*MAX(0,Setup!$C$5-MAX((Setup!$C$5-Setup!$C$7),Setup!$C$4)))+($W169/4*MAX(0,Setup!$C$5+4-MAX(Setup!$C$5,Setup!$C$4)))),MAX(Setup!$C$5,Setup!$C$4)+($K169-($F169*MAX(0,(Setup!$C$5-Setup!$C$7)-Setup!$C$4))-($F169*Setup!$C$8*MAX(0,Setup!$C$5-MAX((Setup!$C$5-Setup!$C$7),Setup!$C$4))))/($W169/4),MAX(Setup!$C$5+4,Setup!$C$4)+($K169-($F169*MAX(0,(Setup!$C$5-Setup!$C$7)-Setup!$C$4))-($F169*Setup!$C$8*MAX(0,Setup!$C$5-MAX((Setup!$C$5-Setup!$C$7),Setup!$C$4)))-($W169/4*MAX(0,Setup!$C$5+4-MAX(Setup!$C$5,Setup!$C$4))))/($F169*Setup!$C$14)))))))</f>
        <v/>
      </c>
      <c r="AI169" s="79" t="str">
        <f>IF($R169&lt;&gt;"OK","",IF(AND($L169&lt;&gt;"",$L169&gt;0,ISNUMBER($AH169),$M169&gt;$AH169),"Runs out before the incoming delivery arrives",IF($AB169=0,"OK",IF($K169+IF(AND($L169&lt;&gt;"",$L169&gt;0),IF($M169&lt;=$AG169,$L169,0),0)&lt;($F169*MAX(0,MIN($AG169,(Setup!$C$5-Setup!$C$7))-Setup!$C$4)+$F169*Setup!$C$8*MAX(0,MIN($AG169,Setup!$C$5)-MAX((Setup!$C$5-Setup!$C$7),Setup!$C$4))+$W169/4*MAX(0,MIN($AG169,Setup!$C$5+4)-MAX(Setup!$C$5,Setup!$C$4))+$F169*Setup!$C$14*MAX(0,$AG169-MAX(Setup!$C$5+4,Setup!$C$4))),"Runs out before this order can land","OK"))))</f>
        <v/>
      </c>
      <c r="AJ169" s="78" t="str">
        <f>IF($R169&lt;&gt;"OK","",IF($AB169=0,0,IF($AL169="Too slow: send it all fast",$AB169,$AR169)))</f>
        <v/>
      </c>
      <c r="AK169" s="78" t="str">
        <f>IF($R169&lt;&gt;"OK","",$AB169-$AJ169)</f>
        <v/>
      </c>
      <c r="AL169" s="78" t="str">
        <f>IF($R169&lt;&gt;"OK","",IF($AB169=0,"",IF($AB169-$AR169=0,"Nothing left over",IF($O169="Domestic",IF($AG169&lt;=Setup!$C$6+Setup!$C$20+1,"Later units can go by Domestic","Too slow: send it all fast"),IF($AS169+$N169+Setup!$C$25+Setup!$C$11&lt;=Setup!$C$6+Setup!$C$20+1,"Later units can go by Ocean long",IF($AS169+$N169+Setup!$C$26+Setup!$C$11&lt;=Setup!$C$6+Setup!$C$20+1,"Later units can go by Ocean short",IF($AS169+$N169+Setup!$C$27+Setup!$C$11&lt;=Setup!$C$6+Setup!$C$20+1,"Later units can go by Air",IF($AS169+$N169+Setup!$C$28+Setup!$C$11&lt;=Setup!$C$6+Setup!$C$20+1,"Later units can go by Express","Too slow: send it all fast"))))))))</f>
        <v/>
      </c>
      <c r="AM169" s="94" t="str">
        <f>IF($R169&lt;&gt;"OK","",$E169-$D169)</f>
        <v/>
      </c>
      <c r="AN169" s="95" t="str">
        <f>IF($R169&lt;&gt;"OK","",($E169-$D169)/$D169)</f>
        <v/>
      </c>
      <c r="AO169" s="95" t="str">
        <f>IF($R169&lt;&gt;"OK","",IF($AB169&gt;0,$AN169+IF($C169="Evergreen",1000,0),""))</f>
        <v/>
      </c>
      <c r="AP169" s="78" t="str">
        <f>IF(OR($R169&lt;&gt;"OK",$AO169=""),"",COUNTIF($AO$6:$AO$205,"&gt;"&amp;$AO169)+COUNTIF($AO$6:$AO169,$AO169))</f>
        <v/>
      </c>
      <c r="AQ169" s="78" t="str">
        <f>IF(OR($R169&lt;&gt;"OK",$AP169=""),"",INDEX('Buy list'!$G$5:$G$204,$AP169))</f>
        <v/>
      </c>
      <c r="AR169" s="78" t="str">
        <f>IF($R169&lt;&gt;"OK","",IF($AB169=0,0,MIN($AB169,CEILING(MAX(0,($F169*MAX(0,MIN((Setup!$C$6+1+Setup!$C$20),(Setup!$C$5-Setup!$C$7))-Setup!$C$4)+$F169*Setup!$C$8*MAX(0,MIN((Setup!$C$6+1+Setup!$C$20),Setup!$C$5)-MAX((Setup!$C$5-Setup!$C$7),Setup!$C$4))+$W169/4*MAX(0,MIN((Setup!$C$6+1+Setup!$C$20),Setup!$C$5+4)-MAX(Setup!$C$5,Setup!$C$4))+$F169*Setup!$C$14*MAX(0,(Setup!$C$6+1+Setup!$C$20)-MAX(Setup!$C$5+4,Setup!$C$4)))+$Y169-$K169-IF(AND($L169&lt;&gt;"",$L169&gt;0),IF($M169&lt;=Setup!$C$10,$L169,0),0)),IF(OR($P169="",$P169&lt;=0),1,$P169)))))</f>
        <v/>
      </c>
      <c r="AS169" s="96" t="str">
        <f>IF($R169&lt;&gt;"OK","",IF(AND($O169&lt;&gt;"Domestic",ISNUMBER(Setup!$C$22),Setup!$C$22&gt;Setup!$C$4),Setup!$C$22,Setup!$C$4))</f>
        <v/>
      </c>
      <c r="AT169" s="96" t="str">
        <f>IF($R169&lt;&gt;"OK","",IF($AB169=0,"",IF($O169="Domestic",$AG169,$AS169+$N169+Setup!$C$27+Setup!$C$11)))</f>
        <v/>
      </c>
    </row>
    <row r="170" ht="15" customHeight="1" s="46">
      <c r="A170" s="70" t="n"/>
      <c r="B170" s="70" t="n"/>
      <c r="C170" s="70" t="n"/>
      <c r="D170" s="85" t="n"/>
      <c r="E170" s="85" t="n"/>
      <c r="F170" s="86" t="n"/>
      <c r="G170" s="87" t="n"/>
      <c r="H170" s="88" t="n"/>
      <c r="I170" s="89" t="n"/>
      <c r="J170" s="90" t="n"/>
      <c r="K170" s="87" t="n"/>
      <c r="L170" s="87" t="n"/>
      <c r="M170" s="91" t="n"/>
      <c r="N170" s="92" t="n"/>
      <c r="O170" s="70" t="n"/>
      <c r="P170" s="92" t="n"/>
      <c r="Q170" s="87" t="n"/>
      <c r="R170" s="79" t="str">
        <f>IF($A170="","",IF($C170="","Missing: type",IF(OR($D170="",$D170&lt;=0),"Missing: unit cost",IF($E170="","Missing: unit price",IF($F170="","Missing: daily sales",IF($K170="","Missing: on hand",IF($N170="","Missing: production days",IF($O170="","Missing: freight mode",IF(ISNA(MATCH($O170,Setup!$B$25:$B$29,0)),"Unknown freight mode",IF(AND($L170&lt;&gt;"",$L170&gt;0,$M170=""),"Missing: on-order arrival date","OK"))))))))))</f>
        <v/>
      </c>
      <c r="S170" s="78" t="str">
        <f>IF($R170&lt;&gt;"OK","",IF($G170="","",ROUND($G170/IF(OR($H170="",$H170&lt;=0),4,$H170)*4,0)))</f>
        <v/>
      </c>
      <c r="T170" s="78" t="str">
        <f>IF($R170&lt;&gt;"OK","",ROUND(IF($G170="",$F170*4*Setup!$C$19,$G170/IF(OR($H170="",$H170&lt;=0),4,$H170)*4*(1+IF($I170="",Setup!$C$16,$I170)))*IF($J170="",1,$J170),0))</f>
        <v/>
      </c>
      <c r="U170" s="78" t="str">
        <f>IF($R170&lt;&gt;"OK","",ROUND($T170*Setup!$C$17,0))</f>
        <v/>
      </c>
      <c r="V170" s="78" t="str">
        <f>IF($R170&lt;&gt;"OK","",ROUND($T170*Setup!$C$18,0))</f>
        <v/>
      </c>
      <c r="W170" s="78" t="str">
        <f>IF($R170&lt;&gt;"OK","",IF($C170="Evergreen",$V170,IF($C170="Seasonal or new",$U170,$T170)))</f>
        <v/>
      </c>
      <c r="X170" s="78" t="str">
        <f>IF($R170&lt;&gt;"OK","",ROUND(($F170*MAX(0,MIN(Setup!$C$13+1,(Setup!$C$5-Setup!$C$7))-Setup!$C$4)+$F170*Setup!$C$8*MAX(0,MIN(Setup!$C$13+1,Setup!$C$5)-MAX((Setup!$C$5-Setup!$C$7),Setup!$C$4))+$W170/4*MAX(0,MIN(Setup!$C$13+1,Setup!$C$5+4)-MAX(Setup!$C$5,Setup!$C$4))+$F170*Setup!$C$14*MAX(0,Setup!$C$13+1-MAX(Setup!$C$5+4,Setup!$C$4))),0))</f>
        <v/>
      </c>
      <c r="Y170" s="78" t="str">
        <f>IF($R170&lt;&gt;"OK","",ROUND($F170*Setup!$C$15,0))</f>
        <v/>
      </c>
      <c r="Z170" s="78" t="str">
        <f>IF($R170&lt;&gt;"OK","",IF(AND($L170&lt;&gt;"",$L170&gt;0),IF($M170&lt;=Setup!$C$13,$L170,0),0))</f>
        <v/>
      </c>
      <c r="AA170" s="78" t="str">
        <f>IF($R170&lt;&gt;"OK","",MAX(0,$X170+$Y170-$K170-$Z170))</f>
        <v/>
      </c>
      <c r="AB170" s="78" t="str">
        <f>IF($R170&lt;&gt;"OK","",IF($AA170=0,0,CEILING(MAX($AA170,IF($Q170="",0,$Q170)),IF(OR($P170="",$P170&lt;=0),1,$P170))))</f>
        <v/>
      </c>
      <c r="AC170" s="78" t="str">
        <f>IF($R170&lt;&gt;"OK","",$AB170*$D170)</f>
        <v/>
      </c>
      <c r="AD170" s="93" t="str">
        <f>IF($R170&lt;&gt;"OK","",INDEX(Setup!$D$25:$D$29,MATCH($O170,Setup!$B$25:$B$29,0)))</f>
        <v/>
      </c>
      <c r="AE170" s="93" t="str">
        <f>IF($R170&lt;&gt;"OK","",$AD170-$N170)</f>
        <v/>
      </c>
      <c r="AF170" s="79" t="str">
        <f>IF($R170&lt;&gt;"OK","",IF($AB170=0,"No order needed",IF($AE170&gt;=$AS170,"Order by the deadline",IF(AND($O170&lt;&gt;"Domestic",Setup!$D$27-$N170&gt;=$AS170),"Late by this mode: fly it",IF(Setup!$D$28-$N170&gt;=$AS170,"Late: Express courier only",IF($AG170&lt;Setup!$C$5,"Tight: lands before Black Friday",IF(AND($O170&lt;&gt;"Domestic",$AT170&lt;Setup!$C$5),"Tight: by Air lands before Black Friday",IF($AS170+$N170+Setup!$C$28+Setup!$C$11&lt;Setup!$C$5,"Tight: by Express lands before Black Friday","Too late: ration"))))))))</f>
        <v/>
      </c>
      <c r="AG170" s="93" t="str">
        <f>IF($R170&lt;&gt;"OK","",IF($AB170=0,"",$AS170+$N170+INDEX(Setup!$C$25:$C$29,MATCH($O170,Setup!$B$25:$B$29,0))+Setup!$C$11))</f>
        <v/>
      </c>
      <c r="AH170" s="93" t="str">
        <f>IF($R170&lt;&gt;"OK","",IF($F170&lt;=0,"",INT(IF($K170&lt;($F170*MAX(0,(Setup!$C$5-Setup!$C$7)-Setup!$C$4)),Setup!$C$4+$K170/$F170,IF($K170&lt;($F170*MAX(0,(Setup!$C$5-Setup!$C$7)-Setup!$C$4))+($F170*Setup!$C$8*MAX(0,Setup!$C$5-MAX((Setup!$C$5-Setup!$C$7),Setup!$C$4))),MAX((Setup!$C$5-Setup!$C$7),Setup!$C$4)+($K170-($F170*MAX(0,(Setup!$C$5-Setup!$C$7)-Setup!$C$4)))/($F170*Setup!$C$8),IF(AND($W170&gt;0,$K170&lt;($F170*MAX(0,(Setup!$C$5-Setup!$C$7)-Setup!$C$4))+($F170*Setup!$C$8*MAX(0,Setup!$C$5-MAX((Setup!$C$5-Setup!$C$7),Setup!$C$4)))+($W170/4*MAX(0,Setup!$C$5+4-MAX(Setup!$C$5,Setup!$C$4)))),MAX(Setup!$C$5,Setup!$C$4)+($K170-($F170*MAX(0,(Setup!$C$5-Setup!$C$7)-Setup!$C$4))-($F170*Setup!$C$8*MAX(0,Setup!$C$5-MAX((Setup!$C$5-Setup!$C$7),Setup!$C$4))))/($W170/4),MAX(Setup!$C$5+4,Setup!$C$4)+($K170-($F170*MAX(0,(Setup!$C$5-Setup!$C$7)-Setup!$C$4))-($F170*Setup!$C$8*MAX(0,Setup!$C$5-MAX((Setup!$C$5-Setup!$C$7),Setup!$C$4)))-($W170/4*MAX(0,Setup!$C$5+4-MAX(Setup!$C$5,Setup!$C$4))))/($F170*Setup!$C$14)))))))</f>
        <v/>
      </c>
      <c r="AI170" s="79" t="str">
        <f>IF($R170&lt;&gt;"OK","",IF(AND($L170&lt;&gt;"",$L170&gt;0,ISNUMBER($AH170),$M170&gt;$AH170),"Runs out before the incoming delivery arrives",IF($AB170=0,"OK",IF($K170+IF(AND($L170&lt;&gt;"",$L170&gt;0),IF($M170&lt;=$AG170,$L170,0),0)&lt;($F170*MAX(0,MIN($AG170,(Setup!$C$5-Setup!$C$7))-Setup!$C$4)+$F170*Setup!$C$8*MAX(0,MIN($AG170,Setup!$C$5)-MAX((Setup!$C$5-Setup!$C$7),Setup!$C$4))+$W170/4*MAX(0,MIN($AG170,Setup!$C$5+4)-MAX(Setup!$C$5,Setup!$C$4))+$F170*Setup!$C$14*MAX(0,$AG170-MAX(Setup!$C$5+4,Setup!$C$4))),"Runs out before this order can land","OK"))))</f>
        <v/>
      </c>
      <c r="AJ170" s="78" t="str">
        <f>IF($R170&lt;&gt;"OK","",IF($AB170=0,0,IF($AL170="Too slow: send it all fast",$AB170,$AR170)))</f>
        <v/>
      </c>
      <c r="AK170" s="78" t="str">
        <f>IF($R170&lt;&gt;"OK","",$AB170-$AJ170)</f>
        <v/>
      </c>
      <c r="AL170" s="78" t="str">
        <f>IF($R170&lt;&gt;"OK","",IF($AB170=0,"",IF($AB170-$AR170=0,"Nothing left over",IF($O170="Domestic",IF($AG170&lt;=Setup!$C$6+Setup!$C$20+1,"Later units can go by Domestic","Too slow: send it all fast"),IF($AS170+$N170+Setup!$C$25+Setup!$C$11&lt;=Setup!$C$6+Setup!$C$20+1,"Later units can go by Ocean long",IF($AS170+$N170+Setup!$C$26+Setup!$C$11&lt;=Setup!$C$6+Setup!$C$20+1,"Later units can go by Ocean short",IF($AS170+$N170+Setup!$C$27+Setup!$C$11&lt;=Setup!$C$6+Setup!$C$20+1,"Later units can go by Air",IF($AS170+$N170+Setup!$C$28+Setup!$C$11&lt;=Setup!$C$6+Setup!$C$20+1,"Later units can go by Express","Too slow: send it all fast"))))))))</f>
        <v/>
      </c>
      <c r="AM170" s="94" t="str">
        <f>IF($R170&lt;&gt;"OK","",$E170-$D170)</f>
        <v/>
      </c>
      <c r="AN170" s="95" t="str">
        <f>IF($R170&lt;&gt;"OK","",($E170-$D170)/$D170)</f>
        <v/>
      </c>
      <c r="AO170" s="95" t="str">
        <f>IF($R170&lt;&gt;"OK","",IF($AB170&gt;0,$AN170+IF($C170="Evergreen",1000,0),""))</f>
        <v/>
      </c>
      <c r="AP170" s="78" t="str">
        <f>IF(OR($R170&lt;&gt;"OK",$AO170=""),"",COUNTIF($AO$6:$AO$205,"&gt;"&amp;$AO170)+COUNTIF($AO$6:$AO170,$AO170))</f>
        <v/>
      </c>
      <c r="AQ170" s="78" t="str">
        <f>IF(OR($R170&lt;&gt;"OK",$AP170=""),"",INDEX('Buy list'!$G$5:$G$204,$AP170))</f>
        <v/>
      </c>
      <c r="AR170" s="78" t="str">
        <f>IF($R170&lt;&gt;"OK","",IF($AB170=0,0,MIN($AB170,CEILING(MAX(0,($F170*MAX(0,MIN((Setup!$C$6+1+Setup!$C$20),(Setup!$C$5-Setup!$C$7))-Setup!$C$4)+$F170*Setup!$C$8*MAX(0,MIN((Setup!$C$6+1+Setup!$C$20),Setup!$C$5)-MAX((Setup!$C$5-Setup!$C$7),Setup!$C$4))+$W170/4*MAX(0,MIN((Setup!$C$6+1+Setup!$C$20),Setup!$C$5+4)-MAX(Setup!$C$5,Setup!$C$4))+$F170*Setup!$C$14*MAX(0,(Setup!$C$6+1+Setup!$C$20)-MAX(Setup!$C$5+4,Setup!$C$4)))+$Y170-$K170-IF(AND($L170&lt;&gt;"",$L170&gt;0),IF($M170&lt;=Setup!$C$10,$L170,0),0)),IF(OR($P170="",$P170&lt;=0),1,$P170)))))</f>
        <v/>
      </c>
      <c r="AS170" s="96" t="str">
        <f>IF($R170&lt;&gt;"OK","",IF(AND($O170&lt;&gt;"Domestic",ISNUMBER(Setup!$C$22),Setup!$C$22&gt;Setup!$C$4),Setup!$C$22,Setup!$C$4))</f>
        <v/>
      </c>
      <c r="AT170" s="96" t="str">
        <f>IF($R170&lt;&gt;"OK","",IF($AB170=0,"",IF($O170="Domestic",$AG170,$AS170+$N170+Setup!$C$27+Setup!$C$11)))</f>
        <v/>
      </c>
    </row>
    <row r="171" ht="15" customHeight="1" s="46">
      <c r="A171" s="70" t="n"/>
      <c r="B171" s="70" t="n"/>
      <c r="C171" s="70" t="n"/>
      <c r="D171" s="85" t="n"/>
      <c r="E171" s="85" t="n"/>
      <c r="F171" s="86" t="n"/>
      <c r="G171" s="87" t="n"/>
      <c r="H171" s="88" t="n"/>
      <c r="I171" s="89" t="n"/>
      <c r="J171" s="90" t="n"/>
      <c r="K171" s="87" t="n"/>
      <c r="L171" s="87" t="n"/>
      <c r="M171" s="91" t="n"/>
      <c r="N171" s="92" t="n"/>
      <c r="O171" s="70" t="n"/>
      <c r="P171" s="92" t="n"/>
      <c r="Q171" s="87" t="n"/>
      <c r="R171" s="79" t="str">
        <f>IF($A171="","",IF($C171="","Missing: type",IF(OR($D171="",$D171&lt;=0),"Missing: unit cost",IF($E171="","Missing: unit price",IF($F171="","Missing: daily sales",IF($K171="","Missing: on hand",IF($N171="","Missing: production days",IF($O171="","Missing: freight mode",IF(ISNA(MATCH($O171,Setup!$B$25:$B$29,0)),"Unknown freight mode",IF(AND($L171&lt;&gt;"",$L171&gt;0,$M171=""),"Missing: on-order arrival date","OK"))))))))))</f>
        <v/>
      </c>
      <c r="S171" s="78" t="str">
        <f>IF($R171&lt;&gt;"OK","",IF($G171="","",ROUND($G171/IF(OR($H171="",$H171&lt;=0),4,$H171)*4,0)))</f>
        <v/>
      </c>
      <c r="T171" s="78" t="str">
        <f>IF($R171&lt;&gt;"OK","",ROUND(IF($G171="",$F171*4*Setup!$C$19,$G171/IF(OR($H171="",$H171&lt;=0),4,$H171)*4*(1+IF($I171="",Setup!$C$16,$I171)))*IF($J171="",1,$J171),0))</f>
        <v/>
      </c>
      <c r="U171" s="78" t="str">
        <f>IF($R171&lt;&gt;"OK","",ROUND($T171*Setup!$C$17,0))</f>
        <v/>
      </c>
      <c r="V171" s="78" t="str">
        <f>IF($R171&lt;&gt;"OK","",ROUND($T171*Setup!$C$18,0))</f>
        <v/>
      </c>
      <c r="W171" s="78" t="str">
        <f>IF($R171&lt;&gt;"OK","",IF($C171="Evergreen",$V171,IF($C171="Seasonal or new",$U171,$T171)))</f>
        <v/>
      </c>
      <c r="X171" s="78" t="str">
        <f>IF($R171&lt;&gt;"OK","",ROUND(($F171*MAX(0,MIN(Setup!$C$13+1,(Setup!$C$5-Setup!$C$7))-Setup!$C$4)+$F171*Setup!$C$8*MAX(0,MIN(Setup!$C$13+1,Setup!$C$5)-MAX((Setup!$C$5-Setup!$C$7),Setup!$C$4))+$W171/4*MAX(0,MIN(Setup!$C$13+1,Setup!$C$5+4)-MAX(Setup!$C$5,Setup!$C$4))+$F171*Setup!$C$14*MAX(0,Setup!$C$13+1-MAX(Setup!$C$5+4,Setup!$C$4))),0))</f>
        <v/>
      </c>
      <c r="Y171" s="78" t="str">
        <f>IF($R171&lt;&gt;"OK","",ROUND($F171*Setup!$C$15,0))</f>
        <v/>
      </c>
      <c r="Z171" s="78" t="str">
        <f>IF($R171&lt;&gt;"OK","",IF(AND($L171&lt;&gt;"",$L171&gt;0),IF($M171&lt;=Setup!$C$13,$L171,0),0))</f>
        <v/>
      </c>
      <c r="AA171" s="78" t="str">
        <f>IF($R171&lt;&gt;"OK","",MAX(0,$X171+$Y171-$K171-$Z171))</f>
        <v/>
      </c>
      <c r="AB171" s="78" t="str">
        <f>IF($R171&lt;&gt;"OK","",IF($AA171=0,0,CEILING(MAX($AA171,IF($Q171="",0,$Q171)),IF(OR($P171="",$P171&lt;=0),1,$P171))))</f>
        <v/>
      </c>
      <c r="AC171" s="78" t="str">
        <f>IF($R171&lt;&gt;"OK","",$AB171*$D171)</f>
        <v/>
      </c>
      <c r="AD171" s="93" t="str">
        <f>IF($R171&lt;&gt;"OK","",INDEX(Setup!$D$25:$D$29,MATCH($O171,Setup!$B$25:$B$29,0)))</f>
        <v/>
      </c>
      <c r="AE171" s="93" t="str">
        <f>IF($R171&lt;&gt;"OK","",$AD171-$N171)</f>
        <v/>
      </c>
      <c r="AF171" s="79" t="str">
        <f>IF($R171&lt;&gt;"OK","",IF($AB171=0,"No order needed",IF($AE171&gt;=$AS171,"Order by the deadline",IF(AND($O171&lt;&gt;"Domestic",Setup!$D$27-$N171&gt;=$AS171),"Late by this mode: fly it",IF(Setup!$D$28-$N171&gt;=$AS171,"Late: Express courier only",IF($AG171&lt;Setup!$C$5,"Tight: lands before Black Friday",IF(AND($O171&lt;&gt;"Domestic",$AT171&lt;Setup!$C$5),"Tight: by Air lands before Black Friday",IF($AS171+$N171+Setup!$C$28+Setup!$C$11&lt;Setup!$C$5,"Tight: by Express lands before Black Friday","Too late: ration"))))))))</f>
        <v/>
      </c>
      <c r="AG171" s="93" t="str">
        <f>IF($R171&lt;&gt;"OK","",IF($AB171=0,"",$AS171+$N171+INDEX(Setup!$C$25:$C$29,MATCH($O171,Setup!$B$25:$B$29,0))+Setup!$C$11))</f>
        <v/>
      </c>
      <c r="AH171" s="93" t="str">
        <f>IF($R171&lt;&gt;"OK","",IF($F171&lt;=0,"",INT(IF($K171&lt;($F171*MAX(0,(Setup!$C$5-Setup!$C$7)-Setup!$C$4)),Setup!$C$4+$K171/$F171,IF($K171&lt;($F171*MAX(0,(Setup!$C$5-Setup!$C$7)-Setup!$C$4))+($F171*Setup!$C$8*MAX(0,Setup!$C$5-MAX((Setup!$C$5-Setup!$C$7),Setup!$C$4))),MAX((Setup!$C$5-Setup!$C$7),Setup!$C$4)+($K171-($F171*MAX(0,(Setup!$C$5-Setup!$C$7)-Setup!$C$4)))/($F171*Setup!$C$8),IF(AND($W171&gt;0,$K171&lt;($F171*MAX(0,(Setup!$C$5-Setup!$C$7)-Setup!$C$4))+($F171*Setup!$C$8*MAX(0,Setup!$C$5-MAX((Setup!$C$5-Setup!$C$7),Setup!$C$4)))+($W171/4*MAX(0,Setup!$C$5+4-MAX(Setup!$C$5,Setup!$C$4)))),MAX(Setup!$C$5,Setup!$C$4)+($K171-($F171*MAX(0,(Setup!$C$5-Setup!$C$7)-Setup!$C$4))-($F171*Setup!$C$8*MAX(0,Setup!$C$5-MAX((Setup!$C$5-Setup!$C$7),Setup!$C$4))))/($W171/4),MAX(Setup!$C$5+4,Setup!$C$4)+($K171-($F171*MAX(0,(Setup!$C$5-Setup!$C$7)-Setup!$C$4))-($F171*Setup!$C$8*MAX(0,Setup!$C$5-MAX((Setup!$C$5-Setup!$C$7),Setup!$C$4)))-($W171/4*MAX(0,Setup!$C$5+4-MAX(Setup!$C$5,Setup!$C$4))))/($F171*Setup!$C$14)))))))</f>
        <v/>
      </c>
      <c r="AI171" s="79" t="str">
        <f>IF($R171&lt;&gt;"OK","",IF(AND($L171&lt;&gt;"",$L171&gt;0,ISNUMBER($AH171),$M171&gt;$AH171),"Runs out before the incoming delivery arrives",IF($AB171=0,"OK",IF($K171+IF(AND($L171&lt;&gt;"",$L171&gt;0),IF($M171&lt;=$AG171,$L171,0),0)&lt;($F171*MAX(0,MIN($AG171,(Setup!$C$5-Setup!$C$7))-Setup!$C$4)+$F171*Setup!$C$8*MAX(0,MIN($AG171,Setup!$C$5)-MAX((Setup!$C$5-Setup!$C$7),Setup!$C$4))+$W171/4*MAX(0,MIN($AG171,Setup!$C$5+4)-MAX(Setup!$C$5,Setup!$C$4))+$F171*Setup!$C$14*MAX(0,$AG171-MAX(Setup!$C$5+4,Setup!$C$4))),"Runs out before this order can land","OK"))))</f>
        <v/>
      </c>
      <c r="AJ171" s="78" t="str">
        <f>IF($R171&lt;&gt;"OK","",IF($AB171=0,0,IF($AL171="Too slow: send it all fast",$AB171,$AR171)))</f>
        <v/>
      </c>
      <c r="AK171" s="78" t="str">
        <f>IF($R171&lt;&gt;"OK","",$AB171-$AJ171)</f>
        <v/>
      </c>
      <c r="AL171" s="78" t="str">
        <f>IF($R171&lt;&gt;"OK","",IF($AB171=0,"",IF($AB171-$AR171=0,"Nothing left over",IF($O171="Domestic",IF($AG171&lt;=Setup!$C$6+Setup!$C$20+1,"Later units can go by Domestic","Too slow: send it all fast"),IF($AS171+$N171+Setup!$C$25+Setup!$C$11&lt;=Setup!$C$6+Setup!$C$20+1,"Later units can go by Ocean long",IF($AS171+$N171+Setup!$C$26+Setup!$C$11&lt;=Setup!$C$6+Setup!$C$20+1,"Later units can go by Ocean short",IF($AS171+$N171+Setup!$C$27+Setup!$C$11&lt;=Setup!$C$6+Setup!$C$20+1,"Later units can go by Air",IF($AS171+$N171+Setup!$C$28+Setup!$C$11&lt;=Setup!$C$6+Setup!$C$20+1,"Later units can go by Express","Too slow: send it all fast"))))))))</f>
        <v/>
      </c>
      <c r="AM171" s="94" t="str">
        <f>IF($R171&lt;&gt;"OK","",$E171-$D171)</f>
        <v/>
      </c>
      <c r="AN171" s="95" t="str">
        <f>IF($R171&lt;&gt;"OK","",($E171-$D171)/$D171)</f>
        <v/>
      </c>
      <c r="AO171" s="95" t="str">
        <f>IF($R171&lt;&gt;"OK","",IF($AB171&gt;0,$AN171+IF($C171="Evergreen",1000,0),""))</f>
        <v/>
      </c>
      <c r="AP171" s="78" t="str">
        <f>IF(OR($R171&lt;&gt;"OK",$AO171=""),"",COUNTIF($AO$6:$AO$205,"&gt;"&amp;$AO171)+COUNTIF($AO$6:$AO171,$AO171))</f>
        <v/>
      </c>
      <c r="AQ171" s="78" t="str">
        <f>IF(OR($R171&lt;&gt;"OK",$AP171=""),"",INDEX('Buy list'!$G$5:$G$204,$AP171))</f>
        <v/>
      </c>
      <c r="AR171" s="78" t="str">
        <f>IF($R171&lt;&gt;"OK","",IF($AB171=0,0,MIN($AB171,CEILING(MAX(0,($F171*MAX(0,MIN((Setup!$C$6+1+Setup!$C$20),(Setup!$C$5-Setup!$C$7))-Setup!$C$4)+$F171*Setup!$C$8*MAX(0,MIN((Setup!$C$6+1+Setup!$C$20),Setup!$C$5)-MAX((Setup!$C$5-Setup!$C$7),Setup!$C$4))+$W171/4*MAX(0,MIN((Setup!$C$6+1+Setup!$C$20),Setup!$C$5+4)-MAX(Setup!$C$5,Setup!$C$4))+$F171*Setup!$C$14*MAX(0,(Setup!$C$6+1+Setup!$C$20)-MAX(Setup!$C$5+4,Setup!$C$4)))+$Y171-$K171-IF(AND($L171&lt;&gt;"",$L171&gt;0),IF($M171&lt;=Setup!$C$10,$L171,0),0)),IF(OR($P171="",$P171&lt;=0),1,$P171)))))</f>
        <v/>
      </c>
      <c r="AS171" s="96" t="str">
        <f>IF($R171&lt;&gt;"OK","",IF(AND($O171&lt;&gt;"Domestic",ISNUMBER(Setup!$C$22),Setup!$C$22&gt;Setup!$C$4),Setup!$C$22,Setup!$C$4))</f>
        <v/>
      </c>
      <c r="AT171" s="96" t="str">
        <f>IF($R171&lt;&gt;"OK","",IF($AB171=0,"",IF($O171="Domestic",$AG171,$AS171+$N171+Setup!$C$27+Setup!$C$11)))</f>
        <v/>
      </c>
    </row>
    <row r="172" ht="15" customHeight="1" s="46">
      <c r="A172" s="70" t="n"/>
      <c r="B172" s="70" t="n"/>
      <c r="C172" s="70" t="n"/>
      <c r="D172" s="85" t="n"/>
      <c r="E172" s="85" t="n"/>
      <c r="F172" s="86" t="n"/>
      <c r="G172" s="87" t="n"/>
      <c r="H172" s="88" t="n"/>
      <c r="I172" s="89" t="n"/>
      <c r="J172" s="90" t="n"/>
      <c r="K172" s="87" t="n"/>
      <c r="L172" s="87" t="n"/>
      <c r="M172" s="91" t="n"/>
      <c r="N172" s="92" t="n"/>
      <c r="O172" s="70" t="n"/>
      <c r="P172" s="92" t="n"/>
      <c r="Q172" s="87" t="n"/>
      <c r="R172" s="79" t="str">
        <f>IF($A172="","",IF($C172="","Missing: type",IF(OR($D172="",$D172&lt;=0),"Missing: unit cost",IF($E172="","Missing: unit price",IF($F172="","Missing: daily sales",IF($K172="","Missing: on hand",IF($N172="","Missing: production days",IF($O172="","Missing: freight mode",IF(ISNA(MATCH($O172,Setup!$B$25:$B$29,0)),"Unknown freight mode",IF(AND($L172&lt;&gt;"",$L172&gt;0,$M172=""),"Missing: on-order arrival date","OK"))))))))))</f>
        <v/>
      </c>
      <c r="S172" s="78" t="str">
        <f>IF($R172&lt;&gt;"OK","",IF($G172="","",ROUND($G172/IF(OR($H172="",$H172&lt;=0),4,$H172)*4,0)))</f>
        <v/>
      </c>
      <c r="T172" s="78" t="str">
        <f>IF($R172&lt;&gt;"OK","",ROUND(IF($G172="",$F172*4*Setup!$C$19,$G172/IF(OR($H172="",$H172&lt;=0),4,$H172)*4*(1+IF($I172="",Setup!$C$16,$I172)))*IF($J172="",1,$J172),0))</f>
        <v/>
      </c>
      <c r="U172" s="78" t="str">
        <f>IF($R172&lt;&gt;"OK","",ROUND($T172*Setup!$C$17,0))</f>
        <v/>
      </c>
      <c r="V172" s="78" t="str">
        <f>IF($R172&lt;&gt;"OK","",ROUND($T172*Setup!$C$18,0))</f>
        <v/>
      </c>
      <c r="W172" s="78" t="str">
        <f>IF($R172&lt;&gt;"OK","",IF($C172="Evergreen",$V172,IF($C172="Seasonal or new",$U172,$T172)))</f>
        <v/>
      </c>
      <c r="X172" s="78" t="str">
        <f>IF($R172&lt;&gt;"OK","",ROUND(($F172*MAX(0,MIN(Setup!$C$13+1,(Setup!$C$5-Setup!$C$7))-Setup!$C$4)+$F172*Setup!$C$8*MAX(0,MIN(Setup!$C$13+1,Setup!$C$5)-MAX((Setup!$C$5-Setup!$C$7),Setup!$C$4))+$W172/4*MAX(0,MIN(Setup!$C$13+1,Setup!$C$5+4)-MAX(Setup!$C$5,Setup!$C$4))+$F172*Setup!$C$14*MAX(0,Setup!$C$13+1-MAX(Setup!$C$5+4,Setup!$C$4))),0))</f>
        <v/>
      </c>
      <c r="Y172" s="78" t="str">
        <f>IF($R172&lt;&gt;"OK","",ROUND($F172*Setup!$C$15,0))</f>
        <v/>
      </c>
      <c r="Z172" s="78" t="str">
        <f>IF($R172&lt;&gt;"OK","",IF(AND($L172&lt;&gt;"",$L172&gt;0),IF($M172&lt;=Setup!$C$13,$L172,0),0))</f>
        <v/>
      </c>
      <c r="AA172" s="78" t="str">
        <f>IF($R172&lt;&gt;"OK","",MAX(0,$X172+$Y172-$K172-$Z172))</f>
        <v/>
      </c>
      <c r="AB172" s="78" t="str">
        <f>IF($R172&lt;&gt;"OK","",IF($AA172=0,0,CEILING(MAX($AA172,IF($Q172="",0,$Q172)),IF(OR($P172="",$P172&lt;=0),1,$P172))))</f>
        <v/>
      </c>
      <c r="AC172" s="78" t="str">
        <f>IF($R172&lt;&gt;"OK","",$AB172*$D172)</f>
        <v/>
      </c>
      <c r="AD172" s="93" t="str">
        <f>IF($R172&lt;&gt;"OK","",INDEX(Setup!$D$25:$D$29,MATCH($O172,Setup!$B$25:$B$29,0)))</f>
        <v/>
      </c>
      <c r="AE172" s="93" t="str">
        <f>IF($R172&lt;&gt;"OK","",$AD172-$N172)</f>
        <v/>
      </c>
      <c r="AF172" s="79" t="str">
        <f>IF($R172&lt;&gt;"OK","",IF($AB172=0,"No order needed",IF($AE172&gt;=$AS172,"Order by the deadline",IF(AND($O172&lt;&gt;"Domestic",Setup!$D$27-$N172&gt;=$AS172),"Late by this mode: fly it",IF(Setup!$D$28-$N172&gt;=$AS172,"Late: Express courier only",IF($AG172&lt;Setup!$C$5,"Tight: lands before Black Friday",IF(AND($O172&lt;&gt;"Domestic",$AT172&lt;Setup!$C$5),"Tight: by Air lands before Black Friday",IF($AS172+$N172+Setup!$C$28+Setup!$C$11&lt;Setup!$C$5,"Tight: by Express lands before Black Friday","Too late: ration"))))))))</f>
        <v/>
      </c>
      <c r="AG172" s="93" t="str">
        <f>IF($R172&lt;&gt;"OK","",IF($AB172=0,"",$AS172+$N172+INDEX(Setup!$C$25:$C$29,MATCH($O172,Setup!$B$25:$B$29,0))+Setup!$C$11))</f>
        <v/>
      </c>
      <c r="AH172" s="93" t="str">
        <f>IF($R172&lt;&gt;"OK","",IF($F172&lt;=0,"",INT(IF($K172&lt;($F172*MAX(0,(Setup!$C$5-Setup!$C$7)-Setup!$C$4)),Setup!$C$4+$K172/$F172,IF($K172&lt;($F172*MAX(0,(Setup!$C$5-Setup!$C$7)-Setup!$C$4))+($F172*Setup!$C$8*MAX(0,Setup!$C$5-MAX((Setup!$C$5-Setup!$C$7),Setup!$C$4))),MAX((Setup!$C$5-Setup!$C$7),Setup!$C$4)+($K172-($F172*MAX(0,(Setup!$C$5-Setup!$C$7)-Setup!$C$4)))/($F172*Setup!$C$8),IF(AND($W172&gt;0,$K172&lt;($F172*MAX(0,(Setup!$C$5-Setup!$C$7)-Setup!$C$4))+($F172*Setup!$C$8*MAX(0,Setup!$C$5-MAX((Setup!$C$5-Setup!$C$7),Setup!$C$4)))+($W172/4*MAX(0,Setup!$C$5+4-MAX(Setup!$C$5,Setup!$C$4)))),MAX(Setup!$C$5,Setup!$C$4)+($K172-($F172*MAX(0,(Setup!$C$5-Setup!$C$7)-Setup!$C$4))-($F172*Setup!$C$8*MAX(0,Setup!$C$5-MAX((Setup!$C$5-Setup!$C$7),Setup!$C$4))))/($W172/4),MAX(Setup!$C$5+4,Setup!$C$4)+($K172-($F172*MAX(0,(Setup!$C$5-Setup!$C$7)-Setup!$C$4))-($F172*Setup!$C$8*MAX(0,Setup!$C$5-MAX((Setup!$C$5-Setup!$C$7),Setup!$C$4)))-($W172/4*MAX(0,Setup!$C$5+4-MAX(Setup!$C$5,Setup!$C$4))))/($F172*Setup!$C$14)))))))</f>
        <v/>
      </c>
      <c r="AI172" s="79" t="str">
        <f>IF($R172&lt;&gt;"OK","",IF(AND($L172&lt;&gt;"",$L172&gt;0,ISNUMBER($AH172),$M172&gt;$AH172),"Runs out before the incoming delivery arrives",IF($AB172=0,"OK",IF($K172+IF(AND($L172&lt;&gt;"",$L172&gt;0),IF($M172&lt;=$AG172,$L172,0),0)&lt;($F172*MAX(0,MIN($AG172,(Setup!$C$5-Setup!$C$7))-Setup!$C$4)+$F172*Setup!$C$8*MAX(0,MIN($AG172,Setup!$C$5)-MAX((Setup!$C$5-Setup!$C$7),Setup!$C$4))+$W172/4*MAX(0,MIN($AG172,Setup!$C$5+4)-MAX(Setup!$C$5,Setup!$C$4))+$F172*Setup!$C$14*MAX(0,$AG172-MAX(Setup!$C$5+4,Setup!$C$4))),"Runs out before this order can land","OK"))))</f>
        <v/>
      </c>
      <c r="AJ172" s="78" t="str">
        <f>IF($R172&lt;&gt;"OK","",IF($AB172=0,0,IF($AL172="Too slow: send it all fast",$AB172,$AR172)))</f>
        <v/>
      </c>
      <c r="AK172" s="78" t="str">
        <f>IF($R172&lt;&gt;"OK","",$AB172-$AJ172)</f>
        <v/>
      </c>
      <c r="AL172" s="78" t="str">
        <f>IF($R172&lt;&gt;"OK","",IF($AB172=0,"",IF($AB172-$AR172=0,"Nothing left over",IF($O172="Domestic",IF($AG172&lt;=Setup!$C$6+Setup!$C$20+1,"Later units can go by Domestic","Too slow: send it all fast"),IF($AS172+$N172+Setup!$C$25+Setup!$C$11&lt;=Setup!$C$6+Setup!$C$20+1,"Later units can go by Ocean long",IF($AS172+$N172+Setup!$C$26+Setup!$C$11&lt;=Setup!$C$6+Setup!$C$20+1,"Later units can go by Ocean short",IF($AS172+$N172+Setup!$C$27+Setup!$C$11&lt;=Setup!$C$6+Setup!$C$20+1,"Later units can go by Air",IF($AS172+$N172+Setup!$C$28+Setup!$C$11&lt;=Setup!$C$6+Setup!$C$20+1,"Later units can go by Express","Too slow: send it all fast"))))))))</f>
        <v/>
      </c>
      <c r="AM172" s="94" t="str">
        <f>IF($R172&lt;&gt;"OK","",$E172-$D172)</f>
        <v/>
      </c>
      <c r="AN172" s="95" t="str">
        <f>IF($R172&lt;&gt;"OK","",($E172-$D172)/$D172)</f>
        <v/>
      </c>
      <c r="AO172" s="95" t="str">
        <f>IF($R172&lt;&gt;"OK","",IF($AB172&gt;0,$AN172+IF($C172="Evergreen",1000,0),""))</f>
        <v/>
      </c>
      <c r="AP172" s="78" t="str">
        <f>IF(OR($R172&lt;&gt;"OK",$AO172=""),"",COUNTIF($AO$6:$AO$205,"&gt;"&amp;$AO172)+COUNTIF($AO$6:$AO172,$AO172))</f>
        <v/>
      </c>
      <c r="AQ172" s="78" t="str">
        <f>IF(OR($R172&lt;&gt;"OK",$AP172=""),"",INDEX('Buy list'!$G$5:$G$204,$AP172))</f>
        <v/>
      </c>
      <c r="AR172" s="78" t="str">
        <f>IF($R172&lt;&gt;"OK","",IF($AB172=0,0,MIN($AB172,CEILING(MAX(0,($F172*MAX(0,MIN((Setup!$C$6+1+Setup!$C$20),(Setup!$C$5-Setup!$C$7))-Setup!$C$4)+$F172*Setup!$C$8*MAX(0,MIN((Setup!$C$6+1+Setup!$C$20),Setup!$C$5)-MAX((Setup!$C$5-Setup!$C$7),Setup!$C$4))+$W172/4*MAX(0,MIN((Setup!$C$6+1+Setup!$C$20),Setup!$C$5+4)-MAX(Setup!$C$5,Setup!$C$4))+$F172*Setup!$C$14*MAX(0,(Setup!$C$6+1+Setup!$C$20)-MAX(Setup!$C$5+4,Setup!$C$4)))+$Y172-$K172-IF(AND($L172&lt;&gt;"",$L172&gt;0),IF($M172&lt;=Setup!$C$10,$L172,0),0)),IF(OR($P172="",$P172&lt;=0),1,$P172)))))</f>
        <v/>
      </c>
      <c r="AS172" s="96" t="str">
        <f>IF($R172&lt;&gt;"OK","",IF(AND($O172&lt;&gt;"Domestic",ISNUMBER(Setup!$C$22),Setup!$C$22&gt;Setup!$C$4),Setup!$C$22,Setup!$C$4))</f>
        <v/>
      </c>
      <c r="AT172" s="96" t="str">
        <f>IF($R172&lt;&gt;"OK","",IF($AB172=0,"",IF($O172="Domestic",$AG172,$AS172+$N172+Setup!$C$27+Setup!$C$11)))</f>
        <v/>
      </c>
    </row>
    <row r="173" ht="15" customHeight="1" s="46">
      <c r="A173" s="70" t="n"/>
      <c r="B173" s="70" t="n"/>
      <c r="C173" s="70" t="n"/>
      <c r="D173" s="85" t="n"/>
      <c r="E173" s="85" t="n"/>
      <c r="F173" s="86" t="n"/>
      <c r="G173" s="87" t="n"/>
      <c r="H173" s="88" t="n"/>
      <c r="I173" s="89" t="n"/>
      <c r="J173" s="90" t="n"/>
      <c r="K173" s="87" t="n"/>
      <c r="L173" s="87" t="n"/>
      <c r="M173" s="91" t="n"/>
      <c r="N173" s="92" t="n"/>
      <c r="O173" s="70" t="n"/>
      <c r="P173" s="92" t="n"/>
      <c r="Q173" s="87" t="n"/>
      <c r="R173" s="79" t="str">
        <f>IF($A173="","",IF($C173="","Missing: type",IF(OR($D173="",$D173&lt;=0),"Missing: unit cost",IF($E173="","Missing: unit price",IF($F173="","Missing: daily sales",IF($K173="","Missing: on hand",IF($N173="","Missing: production days",IF($O173="","Missing: freight mode",IF(ISNA(MATCH($O173,Setup!$B$25:$B$29,0)),"Unknown freight mode",IF(AND($L173&lt;&gt;"",$L173&gt;0,$M173=""),"Missing: on-order arrival date","OK"))))))))))</f>
        <v/>
      </c>
      <c r="S173" s="78" t="str">
        <f>IF($R173&lt;&gt;"OK","",IF($G173="","",ROUND($G173/IF(OR($H173="",$H173&lt;=0),4,$H173)*4,0)))</f>
        <v/>
      </c>
      <c r="T173" s="78" t="str">
        <f>IF($R173&lt;&gt;"OK","",ROUND(IF($G173="",$F173*4*Setup!$C$19,$G173/IF(OR($H173="",$H173&lt;=0),4,$H173)*4*(1+IF($I173="",Setup!$C$16,$I173)))*IF($J173="",1,$J173),0))</f>
        <v/>
      </c>
      <c r="U173" s="78" t="str">
        <f>IF($R173&lt;&gt;"OK","",ROUND($T173*Setup!$C$17,0))</f>
        <v/>
      </c>
      <c r="V173" s="78" t="str">
        <f>IF($R173&lt;&gt;"OK","",ROUND($T173*Setup!$C$18,0))</f>
        <v/>
      </c>
      <c r="W173" s="78" t="str">
        <f>IF($R173&lt;&gt;"OK","",IF($C173="Evergreen",$V173,IF($C173="Seasonal or new",$U173,$T173)))</f>
        <v/>
      </c>
      <c r="X173" s="78" t="str">
        <f>IF($R173&lt;&gt;"OK","",ROUND(($F173*MAX(0,MIN(Setup!$C$13+1,(Setup!$C$5-Setup!$C$7))-Setup!$C$4)+$F173*Setup!$C$8*MAX(0,MIN(Setup!$C$13+1,Setup!$C$5)-MAX((Setup!$C$5-Setup!$C$7),Setup!$C$4))+$W173/4*MAX(0,MIN(Setup!$C$13+1,Setup!$C$5+4)-MAX(Setup!$C$5,Setup!$C$4))+$F173*Setup!$C$14*MAX(0,Setup!$C$13+1-MAX(Setup!$C$5+4,Setup!$C$4))),0))</f>
        <v/>
      </c>
      <c r="Y173" s="78" t="str">
        <f>IF($R173&lt;&gt;"OK","",ROUND($F173*Setup!$C$15,0))</f>
        <v/>
      </c>
      <c r="Z173" s="78" t="str">
        <f>IF($R173&lt;&gt;"OK","",IF(AND($L173&lt;&gt;"",$L173&gt;0),IF($M173&lt;=Setup!$C$13,$L173,0),0))</f>
        <v/>
      </c>
      <c r="AA173" s="78" t="str">
        <f>IF($R173&lt;&gt;"OK","",MAX(0,$X173+$Y173-$K173-$Z173))</f>
        <v/>
      </c>
      <c r="AB173" s="78" t="str">
        <f>IF($R173&lt;&gt;"OK","",IF($AA173=0,0,CEILING(MAX($AA173,IF($Q173="",0,$Q173)),IF(OR($P173="",$P173&lt;=0),1,$P173))))</f>
        <v/>
      </c>
      <c r="AC173" s="78" t="str">
        <f>IF($R173&lt;&gt;"OK","",$AB173*$D173)</f>
        <v/>
      </c>
      <c r="AD173" s="93" t="str">
        <f>IF($R173&lt;&gt;"OK","",INDEX(Setup!$D$25:$D$29,MATCH($O173,Setup!$B$25:$B$29,0)))</f>
        <v/>
      </c>
      <c r="AE173" s="93" t="str">
        <f>IF($R173&lt;&gt;"OK","",$AD173-$N173)</f>
        <v/>
      </c>
      <c r="AF173" s="79" t="str">
        <f>IF($R173&lt;&gt;"OK","",IF($AB173=0,"No order needed",IF($AE173&gt;=$AS173,"Order by the deadline",IF(AND($O173&lt;&gt;"Domestic",Setup!$D$27-$N173&gt;=$AS173),"Late by this mode: fly it",IF(Setup!$D$28-$N173&gt;=$AS173,"Late: Express courier only",IF($AG173&lt;Setup!$C$5,"Tight: lands before Black Friday",IF(AND($O173&lt;&gt;"Domestic",$AT173&lt;Setup!$C$5),"Tight: by Air lands before Black Friday",IF($AS173+$N173+Setup!$C$28+Setup!$C$11&lt;Setup!$C$5,"Tight: by Express lands before Black Friday","Too late: ration"))))))))</f>
        <v/>
      </c>
      <c r="AG173" s="93" t="str">
        <f>IF($R173&lt;&gt;"OK","",IF($AB173=0,"",$AS173+$N173+INDEX(Setup!$C$25:$C$29,MATCH($O173,Setup!$B$25:$B$29,0))+Setup!$C$11))</f>
        <v/>
      </c>
      <c r="AH173" s="93" t="str">
        <f>IF($R173&lt;&gt;"OK","",IF($F173&lt;=0,"",INT(IF($K173&lt;($F173*MAX(0,(Setup!$C$5-Setup!$C$7)-Setup!$C$4)),Setup!$C$4+$K173/$F173,IF($K173&lt;($F173*MAX(0,(Setup!$C$5-Setup!$C$7)-Setup!$C$4))+($F173*Setup!$C$8*MAX(0,Setup!$C$5-MAX((Setup!$C$5-Setup!$C$7),Setup!$C$4))),MAX((Setup!$C$5-Setup!$C$7),Setup!$C$4)+($K173-($F173*MAX(0,(Setup!$C$5-Setup!$C$7)-Setup!$C$4)))/($F173*Setup!$C$8),IF(AND($W173&gt;0,$K173&lt;($F173*MAX(0,(Setup!$C$5-Setup!$C$7)-Setup!$C$4))+($F173*Setup!$C$8*MAX(0,Setup!$C$5-MAX((Setup!$C$5-Setup!$C$7),Setup!$C$4)))+($W173/4*MAX(0,Setup!$C$5+4-MAX(Setup!$C$5,Setup!$C$4)))),MAX(Setup!$C$5,Setup!$C$4)+($K173-($F173*MAX(0,(Setup!$C$5-Setup!$C$7)-Setup!$C$4))-($F173*Setup!$C$8*MAX(0,Setup!$C$5-MAX((Setup!$C$5-Setup!$C$7),Setup!$C$4))))/($W173/4),MAX(Setup!$C$5+4,Setup!$C$4)+($K173-($F173*MAX(0,(Setup!$C$5-Setup!$C$7)-Setup!$C$4))-($F173*Setup!$C$8*MAX(0,Setup!$C$5-MAX((Setup!$C$5-Setup!$C$7),Setup!$C$4)))-($W173/4*MAX(0,Setup!$C$5+4-MAX(Setup!$C$5,Setup!$C$4))))/($F173*Setup!$C$14)))))))</f>
        <v/>
      </c>
      <c r="AI173" s="79" t="str">
        <f>IF($R173&lt;&gt;"OK","",IF(AND($L173&lt;&gt;"",$L173&gt;0,ISNUMBER($AH173),$M173&gt;$AH173),"Runs out before the incoming delivery arrives",IF($AB173=0,"OK",IF($K173+IF(AND($L173&lt;&gt;"",$L173&gt;0),IF($M173&lt;=$AG173,$L173,0),0)&lt;($F173*MAX(0,MIN($AG173,(Setup!$C$5-Setup!$C$7))-Setup!$C$4)+$F173*Setup!$C$8*MAX(0,MIN($AG173,Setup!$C$5)-MAX((Setup!$C$5-Setup!$C$7),Setup!$C$4))+$W173/4*MAX(0,MIN($AG173,Setup!$C$5+4)-MAX(Setup!$C$5,Setup!$C$4))+$F173*Setup!$C$14*MAX(0,$AG173-MAX(Setup!$C$5+4,Setup!$C$4))),"Runs out before this order can land","OK"))))</f>
        <v/>
      </c>
      <c r="AJ173" s="78" t="str">
        <f>IF($R173&lt;&gt;"OK","",IF($AB173=0,0,IF($AL173="Too slow: send it all fast",$AB173,$AR173)))</f>
        <v/>
      </c>
      <c r="AK173" s="78" t="str">
        <f>IF($R173&lt;&gt;"OK","",$AB173-$AJ173)</f>
        <v/>
      </c>
      <c r="AL173" s="78" t="str">
        <f>IF($R173&lt;&gt;"OK","",IF($AB173=0,"",IF($AB173-$AR173=0,"Nothing left over",IF($O173="Domestic",IF($AG173&lt;=Setup!$C$6+Setup!$C$20+1,"Later units can go by Domestic","Too slow: send it all fast"),IF($AS173+$N173+Setup!$C$25+Setup!$C$11&lt;=Setup!$C$6+Setup!$C$20+1,"Later units can go by Ocean long",IF($AS173+$N173+Setup!$C$26+Setup!$C$11&lt;=Setup!$C$6+Setup!$C$20+1,"Later units can go by Ocean short",IF($AS173+$N173+Setup!$C$27+Setup!$C$11&lt;=Setup!$C$6+Setup!$C$20+1,"Later units can go by Air",IF($AS173+$N173+Setup!$C$28+Setup!$C$11&lt;=Setup!$C$6+Setup!$C$20+1,"Later units can go by Express","Too slow: send it all fast"))))))))</f>
        <v/>
      </c>
      <c r="AM173" s="94" t="str">
        <f>IF($R173&lt;&gt;"OK","",$E173-$D173)</f>
        <v/>
      </c>
      <c r="AN173" s="95" t="str">
        <f>IF($R173&lt;&gt;"OK","",($E173-$D173)/$D173)</f>
        <v/>
      </c>
      <c r="AO173" s="95" t="str">
        <f>IF($R173&lt;&gt;"OK","",IF($AB173&gt;0,$AN173+IF($C173="Evergreen",1000,0),""))</f>
        <v/>
      </c>
      <c r="AP173" s="78" t="str">
        <f>IF(OR($R173&lt;&gt;"OK",$AO173=""),"",COUNTIF($AO$6:$AO$205,"&gt;"&amp;$AO173)+COUNTIF($AO$6:$AO173,$AO173))</f>
        <v/>
      </c>
      <c r="AQ173" s="78" t="str">
        <f>IF(OR($R173&lt;&gt;"OK",$AP173=""),"",INDEX('Buy list'!$G$5:$G$204,$AP173))</f>
        <v/>
      </c>
      <c r="AR173" s="78" t="str">
        <f>IF($R173&lt;&gt;"OK","",IF($AB173=0,0,MIN($AB173,CEILING(MAX(0,($F173*MAX(0,MIN((Setup!$C$6+1+Setup!$C$20),(Setup!$C$5-Setup!$C$7))-Setup!$C$4)+$F173*Setup!$C$8*MAX(0,MIN((Setup!$C$6+1+Setup!$C$20),Setup!$C$5)-MAX((Setup!$C$5-Setup!$C$7),Setup!$C$4))+$W173/4*MAX(0,MIN((Setup!$C$6+1+Setup!$C$20),Setup!$C$5+4)-MAX(Setup!$C$5,Setup!$C$4))+$F173*Setup!$C$14*MAX(0,(Setup!$C$6+1+Setup!$C$20)-MAX(Setup!$C$5+4,Setup!$C$4)))+$Y173-$K173-IF(AND($L173&lt;&gt;"",$L173&gt;0),IF($M173&lt;=Setup!$C$10,$L173,0),0)),IF(OR($P173="",$P173&lt;=0),1,$P173)))))</f>
        <v/>
      </c>
      <c r="AS173" s="96" t="str">
        <f>IF($R173&lt;&gt;"OK","",IF(AND($O173&lt;&gt;"Domestic",ISNUMBER(Setup!$C$22),Setup!$C$22&gt;Setup!$C$4),Setup!$C$22,Setup!$C$4))</f>
        <v/>
      </c>
      <c r="AT173" s="96" t="str">
        <f>IF($R173&lt;&gt;"OK","",IF($AB173=0,"",IF($O173="Domestic",$AG173,$AS173+$N173+Setup!$C$27+Setup!$C$11)))</f>
        <v/>
      </c>
    </row>
    <row r="174" ht="15" customHeight="1" s="46">
      <c r="A174" s="70" t="n"/>
      <c r="B174" s="70" t="n"/>
      <c r="C174" s="70" t="n"/>
      <c r="D174" s="85" t="n"/>
      <c r="E174" s="85" t="n"/>
      <c r="F174" s="86" t="n"/>
      <c r="G174" s="87" t="n"/>
      <c r="H174" s="88" t="n"/>
      <c r="I174" s="89" t="n"/>
      <c r="J174" s="90" t="n"/>
      <c r="K174" s="87" t="n"/>
      <c r="L174" s="87" t="n"/>
      <c r="M174" s="91" t="n"/>
      <c r="N174" s="92" t="n"/>
      <c r="O174" s="70" t="n"/>
      <c r="P174" s="92" t="n"/>
      <c r="Q174" s="87" t="n"/>
      <c r="R174" s="79" t="str">
        <f>IF($A174="","",IF($C174="","Missing: type",IF(OR($D174="",$D174&lt;=0),"Missing: unit cost",IF($E174="","Missing: unit price",IF($F174="","Missing: daily sales",IF($K174="","Missing: on hand",IF($N174="","Missing: production days",IF($O174="","Missing: freight mode",IF(ISNA(MATCH($O174,Setup!$B$25:$B$29,0)),"Unknown freight mode",IF(AND($L174&lt;&gt;"",$L174&gt;0,$M174=""),"Missing: on-order arrival date","OK"))))))))))</f>
        <v/>
      </c>
      <c r="S174" s="78" t="str">
        <f>IF($R174&lt;&gt;"OK","",IF($G174="","",ROUND($G174/IF(OR($H174="",$H174&lt;=0),4,$H174)*4,0)))</f>
        <v/>
      </c>
      <c r="T174" s="78" t="str">
        <f>IF($R174&lt;&gt;"OK","",ROUND(IF($G174="",$F174*4*Setup!$C$19,$G174/IF(OR($H174="",$H174&lt;=0),4,$H174)*4*(1+IF($I174="",Setup!$C$16,$I174)))*IF($J174="",1,$J174),0))</f>
        <v/>
      </c>
      <c r="U174" s="78" t="str">
        <f>IF($R174&lt;&gt;"OK","",ROUND($T174*Setup!$C$17,0))</f>
        <v/>
      </c>
      <c r="V174" s="78" t="str">
        <f>IF($R174&lt;&gt;"OK","",ROUND($T174*Setup!$C$18,0))</f>
        <v/>
      </c>
      <c r="W174" s="78" t="str">
        <f>IF($R174&lt;&gt;"OK","",IF($C174="Evergreen",$V174,IF($C174="Seasonal or new",$U174,$T174)))</f>
        <v/>
      </c>
      <c r="X174" s="78" t="str">
        <f>IF($R174&lt;&gt;"OK","",ROUND(($F174*MAX(0,MIN(Setup!$C$13+1,(Setup!$C$5-Setup!$C$7))-Setup!$C$4)+$F174*Setup!$C$8*MAX(0,MIN(Setup!$C$13+1,Setup!$C$5)-MAX((Setup!$C$5-Setup!$C$7),Setup!$C$4))+$W174/4*MAX(0,MIN(Setup!$C$13+1,Setup!$C$5+4)-MAX(Setup!$C$5,Setup!$C$4))+$F174*Setup!$C$14*MAX(0,Setup!$C$13+1-MAX(Setup!$C$5+4,Setup!$C$4))),0))</f>
        <v/>
      </c>
      <c r="Y174" s="78" t="str">
        <f>IF($R174&lt;&gt;"OK","",ROUND($F174*Setup!$C$15,0))</f>
        <v/>
      </c>
      <c r="Z174" s="78" t="str">
        <f>IF($R174&lt;&gt;"OK","",IF(AND($L174&lt;&gt;"",$L174&gt;0),IF($M174&lt;=Setup!$C$13,$L174,0),0))</f>
        <v/>
      </c>
      <c r="AA174" s="78" t="str">
        <f>IF($R174&lt;&gt;"OK","",MAX(0,$X174+$Y174-$K174-$Z174))</f>
        <v/>
      </c>
      <c r="AB174" s="78" t="str">
        <f>IF($R174&lt;&gt;"OK","",IF($AA174=0,0,CEILING(MAX($AA174,IF($Q174="",0,$Q174)),IF(OR($P174="",$P174&lt;=0),1,$P174))))</f>
        <v/>
      </c>
      <c r="AC174" s="78" t="str">
        <f>IF($R174&lt;&gt;"OK","",$AB174*$D174)</f>
        <v/>
      </c>
      <c r="AD174" s="93" t="str">
        <f>IF($R174&lt;&gt;"OK","",INDEX(Setup!$D$25:$D$29,MATCH($O174,Setup!$B$25:$B$29,0)))</f>
        <v/>
      </c>
      <c r="AE174" s="93" t="str">
        <f>IF($R174&lt;&gt;"OK","",$AD174-$N174)</f>
        <v/>
      </c>
      <c r="AF174" s="79" t="str">
        <f>IF($R174&lt;&gt;"OK","",IF($AB174=0,"No order needed",IF($AE174&gt;=$AS174,"Order by the deadline",IF(AND($O174&lt;&gt;"Domestic",Setup!$D$27-$N174&gt;=$AS174),"Late by this mode: fly it",IF(Setup!$D$28-$N174&gt;=$AS174,"Late: Express courier only",IF($AG174&lt;Setup!$C$5,"Tight: lands before Black Friday",IF(AND($O174&lt;&gt;"Domestic",$AT174&lt;Setup!$C$5),"Tight: by Air lands before Black Friday",IF($AS174+$N174+Setup!$C$28+Setup!$C$11&lt;Setup!$C$5,"Tight: by Express lands before Black Friday","Too late: ration"))))))))</f>
        <v/>
      </c>
      <c r="AG174" s="93" t="str">
        <f>IF($R174&lt;&gt;"OK","",IF($AB174=0,"",$AS174+$N174+INDEX(Setup!$C$25:$C$29,MATCH($O174,Setup!$B$25:$B$29,0))+Setup!$C$11))</f>
        <v/>
      </c>
      <c r="AH174" s="93" t="str">
        <f>IF($R174&lt;&gt;"OK","",IF($F174&lt;=0,"",INT(IF($K174&lt;($F174*MAX(0,(Setup!$C$5-Setup!$C$7)-Setup!$C$4)),Setup!$C$4+$K174/$F174,IF($K174&lt;($F174*MAX(0,(Setup!$C$5-Setup!$C$7)-Setup!$C$4))+($F174*Setup!$C$8*MAX(0,Setup!$C$5-MAX((Setup!$C$5-Setup!$C$7),Setup!$C$4))),MAX((Setup!$C$5-Setup!$C$7),Setup!$C$4)+($K174-($F174*MAX(0,(Setup!$C$5-Setup!$C$7)-Setup!$C$4)))/($F174*Setup!$C$8),IF(AND($W174&gt;0,$K174&lt;($F174*MAX(0,(Setup!$C$5-Setup!$C$7)-Setup!$C$4))+($F174*Setup!$C$8*MAX(0,Setup!$C$5-MAX((Setup!$C$5-Setup!$C$7),Setup!$C$4)))+($W174/4*MAX(0,Setup!$C$5+4-MAX(Setup!$C$5,Setup!$C$4)))),MAX(Setup!$C$5,Setup!$C$4)+($K174-($F174*MAX(0,(Setup!$C$5-Setup!$C$7)-Setup!$C$4))-($F174*Setup!$C$8*MAX(0,Setup!$C$5-MAX((Setup!$C$5-Setup!$C$7),Setup!$C$4))))/($W174/4),MAX(Setup!$C$5+4,Setup!$C$4)+($K174-($F174*MAX(0,(Setup!$C$5-Setup!$C$7)-Setup!$C$4))-($F174*Setup!$C$8*MAX(0,Setup!$C$5-MAX((Setup!$C$5-Setup!$C$7),Setup!$C$4)))-($W174/4*MAX(0,Setup!$C$5+4-MAX(Setup!$C$5,Setup!$C$4))))/($F174*Setup!$C$14)))))))</f>
        <v/>
      </c>
      <c r="AI174" s="79" t="str">
        <f>IF($R174&lt;&gt;"OK","",IF(AND($L174&lt;&gt;"",$L174&gt;0,ISNUMBER($AH174),$M174&gt;$AH174),"Runs out before the incoming delivery arrives",IF($AB174=0,"OK",IF($K174+IF(AND($L174&lt;&gt;"",$L174&gt;0),IF($M174&lt;=$AG174,$L174,0),0)&lt;($F174*MAX(0,MIN($AG174,(Setup!$C$5-Setup!$C$7))-Setup!$C$4)+$F174*Setup!$C$8*MAX(0,MIN($AG174,Setup!$C$5)-MAX((Setup!$C$5-Setup!$C$7),Setup!$C$4))+$W174/4*MAX(0,MIN($AG174,Setup!$C$5+4)-MAX(Setup!$C$5,Setup!$C$4))+$F174*Setup!$C$14*MAX(0,$AG174-MAX(Setup!$C$5+4,Setup!$C$4))),"Runs out before this order can land","OK"))))</f>
        <v/>
      </c>
      <c r="AJ174" s="78" t="str">
        <f>IF($R174&lt;&gt;"OK","",IF($AB174=0,0,IF($AL174="Too slow: send it all fast",$AB174,$AR174)))</f>
        <v/>
      </c>
      <c r="AK174" s="78" t="str">
        <f>IF($R174&lt;&gt;"OK","",$AB174-$AJ174)</f>
        <v/>
      </c>
      <c r="AL174" s="78" t="str">
        <f>IF($R174&lt;&gt;"OK","",IF($AB174=0,"",IF($AB174-$AR174=0,"Nothing left over",IF($O174="Domestic",IF($AG174&lt;=Setup!$C$6+Setup!$C$20+1,"Later units can go by Domestic","Too slow: send it all fast"),IF($AS174+$N174+Setup!$C$25+Setup!$C$11&lt;=Setup!$C$6+Setup!$C$20+1,"Later units can go by Ocean long",IF($AS174+$N174+Setup!$C$26+Setup!$C$11&lt;=Setup!$C$6+Setup!$C$20+1,"Later units can go by Ocean short",IF($AS174+$N174+Setup!$C$27+Setup!$C$11&lt;=Setup!$C$6+Setup!$C$20+1,"Later units can go by Air",IF($AS174+$N174+Setup!$C$28+Setup!$C$11&lt;=Setup!$C$6+Setup!$C$20+1,"Later units can go by Express","Too slow: send it all fast"))))))))</f>
        <v/>
      </c>
      <c r="AM174" s="94" t="str">
        <f>IF($R174&lt;&gt;"OK","",$E174-$D174)</f>
        <v/>
      </c>
      <c r="AN174" s="95" t="str">
        <f>IF($R174&lt;&gt;"OK","",($E174-$D174)/$D174)</f>
        <v/>
      </c>
      <c r="AO174" s="95" t="str">
        <f>IF($R174&lt;&gt;"OK","",IF($AB174&gt;0,$AN174+IF($C174="Evergreen",1000,0),""))</f>
        <v/>
      </c>
      <c r="AP174" s="78" t="str">
        <f>IF(OR($R174&lt;&gt;"OK",$AO174=""),"",COUNTIF($AO$6:$AO$205,"&gt;"&amp;$AO174)+COUNTIF($AO$6:$AO174,$AO174))</f>
        <v/>
      </c>
      <c r="AQ174" s="78" t="str">
        <f>IF(OR($R174&lt;&gt;"OK",$AP174=""),"",INDEX('Buy list'!$G$5:$G$204,$AP174))</f>
        <v/>
      </c>
      <c r="AR174" s="78" t="str">
        <f>IF($R174&lt;&gt;"OK","",IF($AB174=0,0,MIN($AB174,CEILING(MAX(0,($F174*MAX(0,MIN((Setup!$C$6+1+Setup!$C$20),(Setup!$C$5-Setup!$C$7))-Setup!$C$4)+$F174*Setup!$C$8*MAX(0,MIN((Setup!$C$6+1+Setup!$C$20),Setup!$C$5)-MAX((Setup!$C$5-Setup!$C$7),Setup!$C$4))+$W174/4*MAX(0,MIN((Setup!$C$6+1+Setup!$C$20),Setup!$C$5+4)-MAX(Setup!$C$5,Setup!$C$4))+$F174*Setup!$C$14*MAX(0,(Setup!$C$6+1+Setup!$C$20)-MAX(Setup!$C$5+4,Setup!$C$4)))+$Y174-$K174-IF(AND($L174&lt;&gt;"",$L174&gt;0),IF($M174&lt;=Setup!$C$10,$L174,0),0)),IF(OR($P174="",$P174&lt;=0),1,$P174)))))</f>
        <v/>
      </c>
      <c r="AS174" s="96" t="str">
        <f>IF($R174&lt;&gt;"OK","",IF(AND($O174&lt;&gt;"Domestic",ISNUMBER(Setup!$C$22),Setup!$C$22&gt;Setup!$C$4),Setup!$C$22,Setup!$C$4))</f>
        <v/>
      </c>
      <c r="AT174" s="96" t="str">
        <f>IF($R174&lt;&gt;"OK","",IF($AB174=0,"",IF($O174="Domestic",$AG174,$AS174+$N174+Setup!$C$27+Setup!$C$11)))</f>
        <v/>
      </c>
    </row>
    <row r="175" ht="15" customHeight="1" s="46">
      <c r="A175" s="70" t="n"/>
      <c r="B175" s="70" t="n"/>
      <c r="C175" s="70" t="n"/>
      <c r="D175" s="85" t="n"/>
      <c r="E175" s="85" t="n"/>
      <c r="F175" s="86" t="n"/>
      <c r="G175" s="87" t="n"/>
      <c r="H175" s="88" t="n"/>
      <c r="I175" s="89" t="n"/>
      <c r="J175" s="90" t="n"/>
      <c r="K175" s="87" t="n"/>
      <c r="L175" s="87" t="n"/>
      <c r="M175" s="91" t="n"/>
      <c r="N175" s="92" t="n"/>
      <c r="O175" s="70" t="n"/>
      <c r="P175" s="92" t="n"/>
      <c r="Q175" s="87" t="n"/>
      <c r="R175" s="79" t="str">
        <f>IF($A175="","",IF($C175="","Missing: type",IF(OR($D175="",$D175&lt;=0),"Missing: unit cost",IF($E175="","Missing: unit price",IF($F175="","Missing: daily sales",IF($K175="","Missing: on hand",IF($N175="","Missing: production days",IF($O175="","Missing: freight mode",IF(ISNA(MATCH($O175,Setup!$B$25:$B$29,0)),"Unknown freight mode",IF(AND($L175&lt;&gt;"",$L175&gt;0,$M175=""),"Missing: on-order arrival date","OK"))))))))))</f>
        <v/>
      </c>
      <c r="S175" s="78" t="str">
        <f>IF($R175&lt;&gt;"OK","",IF($G175="","",ROUND($G175/IF(OR($H175="",$H175&lt;=0),4,$H175)*4,0)))</f>
        <v/>
      </c>
      <c r="T175" s="78" t="str">
        <f>IF($R175&lt;&gt;"OK","",ROUND(IF($G175="",$F175*4*Setup!$C$19,$G175/IF(OR($H175="",$H175&lt;=0),4,$H175)*4*(1+IF($I175="",Setup!$C$16,$I175)))*IF($J175="",1,$J175),0))</f>
        <v/>
      </c>
      <c r="U175" s="78" t="str">
        <f>IF($R175&lt;&gt;"OK","",ROUND($T175*Setup!$C$17,0))</f>
        <v/>
      </c>
      <c r="V175" s="78" t="str">
        <f>IF($R175&lt;&gt;"OK","",ROUND($T175*Setup!$C$18,0))</f>
        <v/>
      </c>
      <c r="W175" s="78" t="str">
        <f>IF($R175&lt;&gt;"OK","",IF($C175="Evergreen",$V175,IF($C175="Seasonal or new",$U175,$T175)))</f>
        <v/>
      </c>
      <c r="X175" s="78" t="str">
        <f>IF($R175&lt;&gt;"OK","",ROUND(($F175*MAX(0,MIN(Setup!$C$13+1,(Setup!$C$5-Setup!$C$7))-Setup!$C$4)+$F175*Setup!$C$8*MAX(0,MIN(Setup!$C$13+1,Setup!$C$5)-MAX((Setup!$C$5-Setup!$C$7),Setup!$C$4))+$W175/4*MAX(0,MIN(Setup!$C$13+1,Setup!$C$5+4)-MAX(Setup!$C$5,Setup!$C$4))+$F175*Setup!$C$14*MAX(0,Setup!$C$13+1-MAX(Setup!$C$5+4,Setup!$C$4))),0))</f>
        <v/>
      </c>
      <c r="Y175" s="78" t="str">
        <f>IF($R175&lt;&gt;"OK","",ROUND($F175*Setup!$C$15,0))</f>
        <v/>
      </c>
      <c r="Z175" s="78" t="str">
        <f>IF($R175&lt;&gt;"OK","",IF(AND($L175&lt;&gt;"",$L175&gt;0),IF($M175&lt;=Setup!$C$13,$L175,0),0))</f>
        <v/>
      </c>
      <c r="AA175" s="78" t="str">
        <f>IF($R175&lt;&gt;"OK","",MAX(0,$X175+$Y175-$K175-$Z175))</f>
        <v/>
      </c>
      <c r="AB175" s="78" t="str">
        <f>IF($R175&lt;&gt;"OK","",IF($AA175=0,0,CEILING(MAX($AA175,IF($Q175="",0,$Q175)),IF(OR($P175="",$P175&lt;=0),1,$P175))))</f>
        <v/>
      </c>
      <c r="AC175" s="78" t="str">
        <f>IF($R175&lt;&gt;"OK","",$AB175*$D175)</f>
        <v/>
      </c>
      <c r="AD175" s="93" t="str">
        <f>IF($R175&lt;&gt;"OK","",INDEX(Setup!$D$25:$D$29,MATCH($O175,Setup!$B$25:$B$29,0)))</f>
        <v/>
      </c>
      <c r="AE175" s="93" t="str">
        <f>IF($R175&lt;&gt;"OK","",$AD175-$N175)</f>
        <v/>
      </c>
      <c r="AF175" s="79" t="str">
        <f>IF($R175&lt;&gt;"OK","",IF($AB175=0,"No order needed",IF($AE175&gt;=$AS175,"Order by the deadline",IF(AND($O175&lt;&gt;"Domestic",Setup!$D$27-$N175&gt;=$AS175),"Late by this mode: fly it",IF(Setup!$D$28-$N175&gt;=$AS175,"Late: Express courier only",IF($AG175&lt;Setup!$C$5,"Tight: lands before Black Friday",IF(AND($O175&lt;&gt;"Domestic",$AT175&lt;Setup!$C$5),"Tight: by Air lands before Black Friday",IF($AS175+$N175+Setup!$C$28+Setup!$C$11&lt;Setup!$C$5,"Tight: by Express lands before Black Friday","Too late: ration"))))))))</f>
        <v/>
      </c>
      <c r="AG175" s="93" t="str">
        <f>IF($R175&lt;&gt;"OK","",IF($AB175=0,"",$AS175+$N175+INDEX(Setup!$C$25:$C$29,MATCH($O175,Setup!$B$25:$B$29,0))+Setup!$C$11))</f>
        <v/>
      </c>
      <c r="AH175" s="93" t="str">
        <f>IF($R175&lt;&gt;"OK","",IF($F175&lt;=0,"",INT(IF($K175&lt;($F175*MAX(0,(Setup!$C$5-Setup!$C$7)-Setup!$C$4)),Setup!$C$4+$K175/$F175,IF($K175&lt;($F175*MAX(0,(Setup!$C$5-Setup!$C$7)-Setup!$C$4))+($F175*Setup!$C$8*MAX(0,Setup!$C$5-MAX((Setup!$C$5-Setup!$C$7),Setup!$C$4))),MAX((Setup!$C$5-Setup!$C$7),Setup!$C$4)+($K175-($F175*MAX(0,(Setup!$C$5-Setup!$C$7)-Setup!$C$4)))/($F175*Setup!$C$8),IF(AND($W175&gt;0,$K175&lt;($F175*MAX(0,(Setup!$C$5-Setup!$C$7)-Setup!$C$4))+($F175*Setup!$C$8*MAX(0,Setup!$C$5-MAX((Setup!$C$5-Setup!$C$7),Setup!$C$4)))+($W175/4*MAX(0,Setup!$C$5+4-MAX(Setup!$C$5,Setup!$C$4)))),MAX(Setup!$C$5,Setup!$C$4)+($K175-($F175*MAX(0,(Setup!$C$5-Setup!$C$7)-Setup!$C$4))-($F175*Setup!$C$8*MAX(0,Setup!$C$5-MAX((Setup!$C$5-Setup!$C$7),Setup!$C$4))))/($W175/4),MAX(Setup!$C$5+4,Setup!$C$4)+($K175-($F175*MAX(0,(Setup!$C$5-Setup!$C$7)-Setup!$C$4))-($F175*Setup!$C$8*MAX(0,Setup!$C$5-MAX((Setup!$C$5-Setup!$C$7),Setup!$C$4)))-($W175/4*MAX(0,Setup!$C$5+4-MAX(Setup!$C$5,Setup!$C$4))))/($F175*Setup!$C$14)))))))</f>
        <v/>
      </c>
      <c r="AI175" s="79" t="str">
        <f>IF($R175&lt;&gt;"OK","",IF(AND($L175&lt;&gt;"",$L175&gt;0,ISNUMBER($AH175),$M175&gt;$AH175),"Runs out before the incoming delivery arrives",IF($AB175=0,"OK",IF($K175+IF(AND($L175&lt;&gt;"",$L175&gt;0),IF($M175&lt;=$AG175,$L175,0),0)&lt;($F175*MAX(0,MIN($AG175,(Setup!$C$5-Setup!$C$7))-Setup!$C$4)+$F175*Setup!$C$8*MAX(0,MIN($AG175,Setup!$C$5)-MAX((Setup!$C$5-Setup!$C$7),Setup!$C$4))+$W175/4*MAX(0,MIN($AG175,Setup!$C$5+4)-MAX(Setup!$C$5,Setup!$C$4))+$F175*Setup!$C$14*MAX(0,$AG175-MAX(Setup!$C$5+4,Setup!$C$4))),"Runs out before this order can land","OK"))))</f>
        <v/>
      </c>
      <c r="AJ175" s="78" t="str">
        <f>IF($R175&lt;&gt;"OK","",IF($AB175=0,0,IF($AL175="Too slow: send it all fast",$AB175,$AR175)))</f>
        <v/>
      </c>
      <c r="AK175" s="78" t="str">
        <f>IF($R175&lt;&gt;"OK","",$AB175-$AJ175)</f>
        <v/>
      </c>
      <c r="AL175" s="78" t="str">
        <f>IF($R175&lt;&gt;"OK","",IF($AB175=0,"",IF($AB175-$AR175=0,"Nothing left over",IF($O175="Domestic",IF($AG175&lt;=Setup!$C$6+Setup!$C$20+1,"Later units can go by Domestic","Too slow: send it all fast"),IF($AS175+$N175+Setup!$C$25+Setup!$C$11&lt;=Setup!$C$6+Setup!$C$20+1,"Later units can go by Ocean long",IF($AS175+$N175+Setup!$C$26+Setup!$C$11&lt;=Setup!$C$6+Setup!$C$20+1,"Later units can go by Ocean short",IF($AS175+$N175+Setup!$C$27+Setup!$C$11&lt;=Setup!$C$6+Setup!$C$20+1,"Later units can go by Air",IF($AS175+$N175+Setup!$C$28+Setup!$C$11&lt;=Setup!$C$6+Setup!$C$20+1,"Later units can go by Express","Too slow: send it all fast"))))))))</f>
        <v/>
      </c>
      <c r="AM175" s="94" t="str">
        <f>IF($R175&lt;&gt;"OK","",$E175-$D175)</f>
        <v/>
      </c>
      <c r="AN175" s="95" t="str">
        <f>IF($R175&lt;&gt;"OK","",($E175-$D175)/$D175)</f>
        <v/>
      </c>
      <c r="AO175" s="95" t="str">
        <f>IF($R175&lt;&gt;"OK","",IF($AB175&gt;0,$AN175+IF($C175="Evergreen",1000,0),""))</f>
        <v/>
      </c>
      <c r="AP175" s="78" t="str">
        <f>IF(OR($R175&lt;&gt;"OK",$AO175=""),"",COUNTIF($AO$6:$AO$205,"&gt;"&amp;$AO175)+COUNTIF($AO$6:$AO175,$AO175))</f>
        <v/>
      </c>
      <c r="AQ175" s="78" t="str">
        <f>IF(OR($R175&lt;&gt;"OK",$AP175=""),"",INDEX('Buy list'!$G$5:$G$204,$AP175))</f>
        <v/>
      </c>
      <c r="AR175" s="78" t="str">
        <f>IF($R175&lt;&gt;"OK","",IF($AB175=0,0,MIN($AB175,CEILING(MAX(0,($F175*MAX(0,MIN((Setup!$C$6+1+Setup!$C$20),(Setup!$C$5-Setup!$C$7))-Setup!$C$4)+$F175*Setup!$C$8*MAX(0,MIN((Setup!$C$6+1+Setup!$C$20),Setup!$C$5)-MAX((Setup!$C$5-Setup!$C$7),Setup!$C$4))+$W175/4*MAX(0,MIN((Setup!$C$6+1+Setup!$C$20),Setup!$C$5+4)-MAX(Setup!$C$5,Setup!$C$4))+$F175*Setup!$C$14*MAX(0,(Setup!$C$6+1+Setup!$C$20)-MAX(Setup!$C$5+4,Setup!$C$4)))+$Y175-$K175-IF(AND($L175&lt;&gt;"",$L175&gt;0),IF($M175&lt;=Setup!$C$10,$L175,0),0)),IF(OR($P175="",$P175&lt;=0),1,$P175)))))</f>
        <v/>
      </c>
      <c r="AS175" s="96" t="str">
        <f>IF($R175&lt;&gt;"OK","",IF(AND($O175&lt;&gt;"Domestic",ISNUMBER(Setup!$C$22),Setup!$C$22&gt;Setup!$C$4),Setup!$C$22,Setup!$C$4))</f>
        <v/>
      </c>
      <c r="AT175" s="96" t="str">
        <f>IF($R175&lt;&gt;"OK","",IF($AB175=0,"",IF($O175="Domestic",$AG175,$AS175+$N175+Setup!$C$27+Setup!$C$11)))</f>
        <v/>
      </c>
    </row>
    <row r="176" ht="15" customHeight="1" s="46">
      <c r="A176" s="70" t="n"/>
      <c r="B176" s="70" t="n"/>
      <c r="C176" s="70" t="n"/>
      <c r="D176" s="85" t="n"/>
      <c r="E176" s="85" t="n"/>
      <c r="F176" s="86" t="n"/>
      <c r="G176" s="87" t="n"/>
      <c r="H176" s="88" t="n"/>
      <c r="I176" s="89" t="n"/>
      <c r="J176" s="90" t="n"/>
      <c r="K176" s="87" t="n"/>
      <c r="L176" s="87" t="n"/>
      <c r="M176" s="91" t="n"/>
      <c r="N176" s="92" t="n"/>
      <c r="O176" s="70" t="n"/>
      <c r="P176" s="92" t="n"/>
      <c r="Q176" s="87" t="n"/>
      <c r="R176" s="79" t="str">
        <f>IF($A176="","",IF($C176="","Missing: type",IF(OR($D176="",$D176&lt;=0),"Missing: unit cost",IF($E176="","Missing: unit price",IF($F176="","Missing: daily sales",IF($K176="","Missing: on hand",IF($N176="","Missing: production days",IF($O176="","Missing: freight mode",IF(ISNA(MATCH($O176,Setup!$B$25:$B$29,0)),"Unknown freight mode",IF(AND($L176&lt;&gt;"",$L176&gt;0,$M176=""),"Missing: on-order arrival date","OK"))))))))))</f>
        <v/>
      </c>
      <c r="S176" s="78" t="str">
        <f>IF($R176&lt;&gt;"OK","",IF($G176="","",ROUND($G176/IF(OR($H176="",$H176&lt;=0),4,$H176)*4,0)))</f>
        <v/>
      </c>
      <c r="T176" s="78" t="str">
        <f>IF($R176&lt;&gt;"OK","",ROUND(IF($G176="",$F176*4*Setup!$C$19,$G176/IF(OR($H176="",$H176&lt;=0),4,$H176)*4*(1+IF($I176="",Setup!$C$16,$I176)))*IF($J176="",1,$J176),0))</f>
        <v/>
      </c>
      <c r="U176" s="78" t="str">
        <f>IF($R176&lt;&gt;"OK","",ROUND($T176*Setup!$C$17,0))</f>
        <v/>
      </c>
      <c r="V176" s="78" t="str">
        <f>IF($R176&lt;&gt;"OK","",ROUND($T176*Setup!$C$18,0))</f>
        <v/>
      </c>
      <c r="W176" s="78" t="str">
        <f>IF($R176&lt;&gt;"OK","",IF($C176="Evergreen",$V176,IF($C176="Seasonal or new",$U176,$T176)))</f>
        <v/>
      </c>
      <c r="X176" s="78" t="str">
        <f>IF($R176&lt;&gt;"OK","",ROUND(($F176*MAX(0,MIN(Setup!$C$13+1,(Setup!$C$5-Setup!$C$7))-Setup!$C$4)+$F176*Setup!$C$8*MAX(0,MIN(Setup!$C$13+1,Setup!$C$5)-MAX((Setup!$C$5-Setup!$C$7),Setup!$C$4))+$W176/4*MAX(0,MIN(Setup!$C$13+1,Setup!$C$5+4)-MAX(Setup!$C$5,Setup!$C$4))+$F176*Setup!$C$14*MAX(0,Setup!$C$13+1-MAX(Setup!$C$5+4,Setup!$C$4))),0))</f>
        <v/>
      </c>
      <c r="Y176" s="78" t="str">
        <f>IF($R176&lt;&gt;"OK","",ROUND($F176*Setup!$C$15,0))</f>
        <v/>
      </c>
      <c r="Z176" s="78" t="str">
        <f>IF($R176&lt;&gt;"OK","",IF(AND($L176&lt;&gt;"",$L176&gt;0),IF($M176&lt;=Setup!$C$13,$L176,0),0))</f>
        <v/>
      </c>
      <c r="AA176" s="78" t="str">
        <f>IF($R176&lt;&gt;"OK","",MAX(0,$X176+$Y176-$K176-$Z176))</f>
        <v/>
      </c>
      <c r="AB176" s="78" t="str">
        <f>IF($R176&lt;&gt;"OK","",IF($AA176=0,0,CEILING(MAX($AA176,IF($Q176="",0,$Q176)),IF(OR($P176="",$P176&lt;=0),1,$P176))))</f>
        <v/>
      </c>
      <c r="AC176" s="78" t="str">
        <f>IF($R176&lt;&gt;"OK","",$AB176*$D176)</f>
        <v/>
      </c>
      <c r="AD176" s="93" t="str">
        <f>IF($R176&lt;&gt;"OK","",INDEX(Setup!$D$25:$D$29,MATCH($O176,Setup!$B$25:$B$29,0)))</f>
        <v/>
      </c>
      <c r="AE176" s="93" t="str">
        <f>IF($R176&lt;&gt;"OK","",$AD176-$N176)</f>
        <v/>
      </c>
      <c r="AF176" s="79" t="str">
        <f>IF($R176&lt;&gt;"OK","",IF($AB176=0,"No order needed",IF($AE176&gt;=$AS176,"Order by the deadline",IF(AND($O176&lt;&gt;"Domestic",Setup!$D$27-$N176&gt;=$AS176),"Late by this mode: fly it",IF(Setup!$D$28-$N176&gt;=$AS176,"Late: Express courier only",IF($AG176&lt;Setup!$C$5,"Tight: lands before Black Friday",IF(AND($O176&lt;&gt;"Domestic",$AT176&lt;Setup!$C$5),"Tight: by Air lands before Black Friday",IF($AS176+$N176+Setup!$C$28+Setup!$C$11&lt;Setup!$C$5,"Tight: by Express lands before Black Friday","Too late: ration"))))))))</f>
        <v/>
      </c>
      <c r="AG176" s="93" t="str">
        <f>IF($R176&lt;&gt;"OK","",IF($AB176=0,"",$AS176+$N176+INDEX(Setup!$C$25:$C$29,MATCH($O176,Setup!$B$25:$B$29,0))+Setup!$C$11))</f>
        <v/>
      </c>
      <c r="AH176" s="93" t="str">
        <f>IF($R176&lt;&gt;"OK","",IF($F176&lt;=0,"",INT(IF($K176&lt;($F176*MAX(0,(Setup!$C$5-Setup!$C$7)-Setup!$C$4)),Setup!$C$4+$K176/$F176,IF($K176&lt;($F176*MAX(0,(Setup!$C$5-Setup!$C$7)-Setup!$C$4))+($F176*Setup!$C$8*MAX(0,Setup!$C$5-MAX((Setup!$C$5-Setup!$C$7),Setup!$C$4))),MAX((Setup!$C$5-Setup!$C$7),Setup!$C$4)+($K176-($F176*MAX(0,(Setup!$C$5-Setup!$C$7)-Setup!$C$4)))/($F176*Setup!$C$8),IF(AND($W176&gt;0,$K176&lt;($F176*MAX(0,(Setup!$C$5-Setup!$C$7)-Setup!$C$4))+($F176*Setup!$C$8*MAX(0,Setup!$C$5-MAX((Setup!$C$5-Setup!$C$7),Setup!$C$4)))+($W176/4*MAX(0,Setup!$C$5+4-MAX(Setup!$C$5,Setup!$C$4)))),MAX(Setup!$C$5,Setup!$C$4)+($K176-($F176*MAX(0,(Setup!$C$5-Setup!$C$7)-Setup!$C$4))-($F176*Setup!$C$8*MAX(0,Setup!$C$5-MAX((Setup!$C$5-Setup!$C$7),Setup!$C$4))))/($W176/4),MAX(Setup!$C$5+4,Setup!$C$4)+($K176-($F176*MAX(0,(Setup!$C$5-Setup!$C$7)-Setup!$C$4))-($F176*Setup!$C$8*MAX(0,Setup!$C$5-MAX((Setup!$C$5-Setup!$C$7),Setup!$C$4)))-($W176/4*MAX(0,Setup!$C$5+4-MAX(Setup!$C$5,Setup!$C$4))))/($F176*Setup!$C$14)))))))</f>
        <v/>
      </c>
      <c r="AI176" s="79" t="str">
        <f>IF($R176&lt;&gt;"OK","",IF(AND($L176&lt;&gt;"",$L176&gt;0,ISNUMBER($AH176),$M176&gt;$AH176),"Runs out before the incoming delivery arrives",IF($AB176=0,"OK",IF($K176+IF(AND($L176&lt;&gt;"",$L176&gt;0),IF($M176&lt;=$AG176,$L176,0),0)&lt;($F176*MAX(0,MIN($AG176,(Setup!$C$5-Setup!$C$7))-Setup!$C$4)+$F176*Setup!$C$8*MAX(0,MIN($AG176,Setup!$C$5)-MAX((Setup!$C$5-Setup!$C$7),Setup!$C$4))+$W176/4*MAX(0,MIN($AG176,Setup!$C$5+4)-MAX(Setup!$C$5,Setup!$C$4))+$F176*Setup!$C$14*MAX(0,$AG176-MAX(Setup!$C$5+4,Setup!$C$4))),"Runs out before this order can land","OK"))))</f>
        <v/>
      </c>
      <c r="AJ176" s="78" t="str">
        <f>IF($R176&lt;&gt;"OK","",IF($AB176=0,0,IF($AL176="Too slow: send it all fast",$AB176,$AR176)))</f>
        <v/>
      </c>
      <c r="AK176" s="78" t="str">
        <f>IF($R176&lt;&gt;"OK","",$AB176-$AJ176)</f>
        <v/>
      </c>
      <c r="AL176" s="78" t="str">
        <f>IF($R176&lt;&gt;"OK","",IF($AB176=0,"",IF($AB176-$AR176=0,"Nothing left over",IF($O176="Domestic",IF($AG176&lt;=Setup!$C$6+Setup!$C$20+1,"Later units can go by Domestic","Too slow: send it all fast"),IF($AS176+$N176+Setup!$C$25+Setup!$C$11&lt;=Setup!$C$6+Setup!$C$20+1,"Later units can go by Ocean long",IF($AS176+$N176+Setup!$C$26+Setup!$C$11&lt;=Setup!$C$6+Setup!$C$20+1,"Later units can go by Ocean short",IF($AS176+$N176+Setup!$C$27+Setup!$C$11&lt;=Setup!$C$6+Setup!$C$20+1,"Later units can go by Air",IF($AS176+$N176+Setup!$C$28+Setup!$C$11&lt;=Setup!$C$6+Setup!$C$20+1,"Later units can go by Express","Too slow: send it all fast"))))))))</f>
        <v/>
      </c>
      <c r="AM176" s="94" t="str">
        <f>IF($R176&lt;&gt;"OK","",$E176-$D176)</f>
        <v/>
      </c>
      <c r="AN176" s="95" t="str">
        <f>IF($R176&lt;&gt;"OK","",($E176-$D176)/$D176)</f>
        <v/>
      </c>
      <c r="AO176" s="95" t="str">
        <f>IF($R176&lt;&gt;"OK","",IF($AB176&gt;0,$AN176+IF($C176="Evergreen",1000,0),""))</f>
        <v/>
      </c>
      <c r="AP176" s="78" t="str">
        <f>IF(OR($R176&lt;&gt;"OK",$AO176=""),"",COUNTIF($AO$6:$AO$205,"&gt;"&amp;$AO176)+COUNTIF($AO$6:$AO176,$AO176))</f>
        <v/>
      </c>
      <c r="AQ176" s="78" t="str">
        <f>IF(OR($R176&lt;&gt;"OK",$AP176=""),"",INDEX('Buy list'!$G$5:$G$204,$AP176))</f>
        <v/>
      </c>
      <c r="AR176" s="78" t="str">
        <f>IF($R176&lt;&gt;"OK","",IF($AB176=0,0,MIN($AB176,CEILING(MAX(0,($F176*MAX(0,MIN((Setup!$C$6+1+Setup!$C$20),(Setup!$C$5-Setup!$C$7))-Setup!$C$4)+$F176*Setup!$C$8*MAX(0,MIN((Setup!$C$6+1+Setup!$C$20),Setup!$C$5)-MAX((Setup!$C$5-Setup!$C$7),Setup!$C$4))+$W176/4*MAX(0,MIN((Setup!$C$6+1+Setup!$C$20),Setup!$C$5+4)-MAX(Setup!$C$5,Setup!$C$4))+$F176*Setup!$C$14*MAX(0,(Setup!$C$6+1+Setup!$C$20)-MAX(Setup!$C$5+4,Setup!$C$4)))+$Y176-$K176-IF(AND($L176&lt;&gt;"",$L176&gt;0),IF($M176&lt;=Setup!$C$10,$L176,0),0)),IF(OR($P176="",$P176&lt;=0),1,$P176)))))</f>
        <v/>
      </c>
      <c r="AS176" s="96" t="str">
        <f>IF($R176&lt;&gt;"OK","",IF(AND($O176&lt;&gt;"Domestic",ISNUMBER(Setup!$C$22),Setup!$C$22&gt;Setup!$C$4),Setup!$C$22,Setup!$C$4))</f>
        <v/>
      </c>
      <c r="AT176" s="96" t="str">
        <f>IF($R176&lt;&gt;"OK","",IF($AB176=0,"",IF($O176="Domestic",$AG176,$AS176+$N176+Setup!$C$27+Setup!$C$11)))</f>
        <v/>
      </c>
    </row>
    <row r="177" ht="15" customHeight="1" s="46">
      <c r="A177" s="70" t="n"/>
      <c r="B177" s="70" t="n"/>
      <c r="C177" s="70" t="n"/>
      <c r="D177" s="85" t="n"/>
      <c r="E177" s="85" t="n"/>
      <c r="F177" s="86" t="n"/>
      <c r="G177" s="87" t="n"/>
      <c r="H177" s="88" t="n"/>
      <c r="I177" s="89" t="n"/>
      <c r="J177" s="90" t="n"/>
      <c r="K177" s="87" t="n"/>
      <c r="L177" s="87" t="n"/>
      <c r="M177" s="91" t="n"/>
      <c r="N177" s="92" t="n"/>
      <c r="O177" s="70" t="n"/>
      <c r="P177" s="92" t="n"/>
      <c r="Q177" s="87" t="n"/>
      <c r="R177" s="79" t="str">
        <f>IF($A177="","",IF($C177="","Missing: type",IF(OR($D177="",$D177&lt;=0),"Missing: unit cost",IF($E177="","Missing: unit price",IF($F177="","Missing: daily sales",IF($K177="","Missing: on hand",IF($N177="","Missing: production days",IF($O177="","Missing: freight mode",IF(ISNA(MATCH($O177,Setup!$B$25:$B$29,0)),"Unknown freight mode",IF(AND($L177&lt;&gt;"",$L177&gt;0,$M177=""),"Missing: on-order arrival date","OK"))))))))))</f>
        <v/>
      </c>
      <c r="S177" s="78" t="str">
        <f>IF($R177&lt;&gt;"OK","",IF($G177="","",ROUND($G177/IF(OR($H177="",$H177&lt;=0),4,$H177)*4,0)))</f>
        <v/>
      </c>
      <c r="T177" s="78" t="str">
        <f>IF($R177&lt;&gt;"OK","",ROUND(IF($G177="",$F177*4*Setup!$C$19,$G177/IF(OR($H177="",$H177&lt;=0),4,$H177)*4*(1+IF($I177="",Setup!$C$16,$I177)))*IF($J177="",1,$J177),0))</f>
        <v/>
      </c>
      <c r="U177" s="78" t="str">
        <f>IF($R177&lt;&gt;"OK","",ROUND($T177*Setup!$C$17,0))</f>
        <v/>
      </c>
      <c r="V177" s="78" t="str">
        <f>IF($R177&lt;&gt;"OK","",ROUND($T177*Setup!$C$18,0))</f>
        <v/>
      </c>
      <c r="W177" s="78" t="str">
        <f>IF($R177&lt;&gt;"OK","",IF($C177="Evergreen",$V177,IF($C177="Seasonal or new",$U177,$T177)))</f>
        <v/>
      </c>
      <c r="X177" s="78" t="str">
        <f>IF($R177&lt;&gt;"OK","",ROUND(($F177*MAX(0,MIN(Setup!$C$13+1,(Setup!$C$5-Setup!$C$7))-Setup!$C$4)+$F177*Setup!$C$8*MAX(0,MIN(Setup!$C$13+1,Setup!$C$5)-MAX((Setup!$C$5-Setup!$C$7),Setup!$C$4))+$W177/4*MAX(0,MIN(Setup!$C$13+1,Setup!$C$5+4)-MAX(Setup!$C$5,Setup!$C$4))+$F177*Setup!$C$14*MAX(0,Setup!$C$13+1-MAX(Setup!$C$5+4,Setup!$C$4))),0))</f>
        <v/>
      </c>
      <c r="Y177" s="78" t="str">
        <f>IF($R177&lt;&gt;"OK","",ROUND($F177*Setup!$C$15,0))</f>
        <v/>
      </c>
      <c r="Z177" s="78" t="str">
        <f>IF($R177&lt;&gt;"OK","",IF(AND($L177&lt;&gt;"",$L177&gt;0),IF($M177&lt;=Setup!$C$13,$L177,0),0))</f>
        <v/>
      </c>
      <c r="AA177" s="78" t="str">
        <f>IF($R177&lt;&gt;"OK","",MAX(0,$X177+$Y177-$K177-$Z177))</f>
        <v/>
      </c>
      <c r="AB177" s="78" t="str">
        <f>IF($R177&lt;&gt;"OK","",IF($AA177=0,0,CEILING(MAX($AA177,IF($Q177="",0,$Q177)),IF(OR($P177="",$P177&lt;=0),1,$P177))))</f>
        <v/>
      </c>
      <c r="AC177" s="78" t="str">
        <f>IF($R177&lt;&gt;"OK","",$AB177*$D177)</f>
        <v/>
      </c>
      <c r="AD177" s="93" t="str">
        <f>IF($R177&lt;&gt;"OK","",INDEX(Setup!$D$25:$D$29,MATCH($O177,Setup!$B$25:$B$29,0)))</f>
        <v/>
      </c>
      <c r="AE177" s="93" t="str">
        <f>IF($R177&lt;&gt;"OK","",$AD177-$N177)</f>
        <v/>
      </c>
      <c r="AF177" s="79" t="str">
        <f>IF($R177&lt;&gt;"OK","",IF($AB177=0,"No order needed",IF($AE177&gt;=$AS177,"Order by the deadline",IF(AND($O177&lt;&gt;"Domestic",Setup!$D$27-$N177&gt;=$AS177),"Late by this mode: fly it",IF(Setup!$D$28-$N177&gt;=$AS177,"Late: Express courier only",IF($AG177&lt;Setup!$C$5,"Tight: lands before Black Friday",IF(AND($O177&lt;&gt;"Domestic",$AT177&lt;Setup!$C$5),"Tight: by Air lands before Black Friday",IF($AS177+$N177+Setup!$C$28+Setup!$C$11&lt;Setup!$C$5,"Tight: by Express lands before Black Friday","Too late: ration"))))))))</f>
        <v/>
      </c>
      <c r="AG177" s="93" t="str">
        <f>IF($R177&lt;&gt;"OK","",IF($AB177=0,"",$AS177+$N177+INDEX(Setup!$C$25:$C$29,MATCH($O177,Setup!$B$25:$B$29,0))+Setup!$C$11))</f>
        <v/>
      </c>
      <c r="AH177" s="93" t="str">
        <f>IF($R177&lt;&gt;"OK","",IF($F177&lt;=0,"",INT(IF($K177&lt;($F177*MAX(0,(Setup!$C$5-Setup!$C$7)-Setup!$C$4)),Setup!$C$4+$K177/$F177,IF($K177&lt;($F177*MAX(0,(Setup!$C$5-Setup!$C$7)-Setup!$C$4))+($F177*Setup!$C$8*MAX(0,Setup!$C$5-MAX((Setup!$C$5-Setup!$C$7),Setup!$C$4))),MAX((Setup!$C$5-Setup!$C$7),Setup!$C$4)+($K177-($F177*MAX(0,(Setup!$C$5-Setup!$C$7)-Setup!$C$4)))/($F177*Setup!$C$8),IF(AND($W177&gt;0,$K177&lt;($F177*MAX(0,(Setup!$C$5-Setup!$C$7)-Setup!$C$4))+($F177*Setup!$C$8*MAX(0,Setup!$C$5-MAX((Setup!$C$5-Setup!$C$7),Setup!$C$4)))+($W177/4*MAX(0,Setup!$C$5+4-MAX(Setup!$C$5,Setup!$C$4)))),MAX(Setup!$C$5,Setup!$C$4)+($K177-($F177*MAX(0,(Setup!$C$5-Setup!$C$7)-Setup!$C$4))-($F177*Setup!$C$8*MAX(0,Setup!$C$5-MAX((Setup!$C$5-Setup!$C$7),Setup!$C$4))))/($W177/4),MAX(Setup!$C$5+4,Setup!$C$4)+($K177-($F177*MAX(0,(Setup!$C$5-Setup!$C$7)-Setup!$C$4))-($F177*Setup!$C$8*MAX(0,Setup!$C$5-MAX((Setup!$C$5-Setup!$C$7),Setup!$C$4)))-($W177/4*MAX(0,Setup!$C$5+4-MAX(Setup!$C$5,Setup!$C$4))))/($F177*Setup!$C$14)))))))</f>
        <v/>
      </c>
      <c r="AI177" s="79" t="str">
        <f>IF($R177&lt;&gt;"OK","",IF(AND($L177&lt;&gt;"",$L177&gt;0,ISNUMBER($AH177),$M177&gt;$AH177),"Runs out before the incoming delivery arrives",IF($AB177=0,"OK",IF($K177+IF(AND($L177&lt;&gt;"",$L177&gt;0),IF($M177&lt;=$AG177,$L177,0),0)&lt;($F177*MAX(0,MIN($AG177,(Setup!$C$5-Setup!$C$7))-Setup!$C$4)+$F177*Setup!$C$8*MAX(0,MIN($AG177,Setup!$C$5)-MAX((Setup!$C$5-Setup!$C$7),Setup!$C$4))+$W177/4*MAX(0,MIN($AG177,Setup!$C$5+4)-MAX(Setup!$C$5,Setup!$C$4))+$F177*Setup!$C$14*MAX(0,$AG177-MAX(Setup!$C$5+4,Setup!$C$4))),"Runs out before this order can land","OK"))))</f>
        <v/>
      </c>
      <c r="AJ177" s="78" t="str">
        <f>IF($R177&lt;&gt;"OK","",IF($AB177=0,0,IF($AL177="Too slow: send it all fast",$AB177,$AR177)))</f>
        <v/>
      </c>
      <c r="AK177" s="78" t="str">
        <f>IF($R177&lt;&gt;"OK","",$AB177-$AJ177)</f>
        <v/>
      </c>
      <c r="AL177" s="78" t="str">
        <f>IF($R177&lt;&gt;"OK","",IF($AB177=0,"",IF($AB177-$AR177=0,"Nothing left over",IF($O177="Domestic",IF($AG177&lt;=Setup!$C$6+Setup!$C$20+1,"Later units can go by Domestic","Too slow: send it all fast"),IF($AS177+$N177+Setup!$C$25+Setup!$C$11&lt;=Setup!$C$6+Setup!$C$20+1,"Later units can go by Ocean long",IF($AS177+$N177+Setup!$C$26+Setup!$C$11&lt;=Setup!$C$6+Setup!$C$20+1,"Later units can go by Ocean short",IF($AS177+$N177+Setup!$C$27+Setup!$C$11&lt;=Setup!$C$6+Setup!$C$20+1,"Later units can go by Air",IF($AS177+$N177+Setup!$C$28+Setup!$C$11&lt;=Setup!$C$6+Setup!$C$20+1,"Later units can go by Express","Too slow: send it all fast"))))))))</f>
        <v/>
      </c>
      <c r="AM177" s="94" t="str">
        <f>IF($R177&lt;&gt;"OK","",$E177-$D177)</f>
        <v/>
      </c>
      <c r="AN177" s="95" t="str">
        <f>IF($R177&lt;&gt;"OK","",($E177-$D177)/$D177)</f>
        <v/>
      </c>
      <c r="AO177" s="95" t="str">
        <f>IF($R177&lt;&gt;"OK","",IF($AB177&gt;0,$AN177+IF($C177="Evergreen",1000,0),""))</f>
        <v/>
      </c>
      <c r="AP177" s="78" t="str">
        <f>IF(OR($R177&lt;&gt;"OK",$AO177=""),"",COUNTIF($AO$6:$AO$205,"&gt;"&amp;$AO177)+COUNTIF($AO$6:$AO177,$AO177))</f>
        <v/>
      </c>
      <c r="AQ177" s="78" t="str">
        <f>IF(OR($R177&lt;&gt;"OK",$AP177=""),"",INDEX('Buy list'!$G$5:$G$204,$AP177))</f>
        <v/>
      </c>
      <c r="AR177" s="78" t="str">
        <f>IF($R177&lt;&gt;"OK","",IF($AB177=0,0,MIN($AB177,CEILING(MAX(0,($F177*MAX(0,MIN((Setup!$C$6+1+Setup!$C$20),(Setup!$C$5-Setup!$C$7))-Setup!$C$4)+$F177*Setup!$C$8*MAX(0,MIN((Setup!$C$6+1+Setup!$C$20),Setup!$C$5)-MAX((Setup!$C$5-Setup!$C$7),Setup!$C$4))+$W177/4*MAX(0,MIN((Setup!$C$6+1+Setup!$C$20),Setup!$C$5+4)-MAX(Setup!$C$5,Setup!$C$4))+$F177*Setup!$C$14*MAX(0,(Setup!$C$6+1+Setup!$C$20)-MAX(Setup!$C$5+4,Setup!$C$4)))+$Y177-$K177-IF(AND($L177&lt;&gt;"",$L177&gt;0),IF($M177&lt;=Setup!$C$10,$L177,0),0)),IF(OR($P177="",$P177&lt;=0),1,$P177)))))</f>
        <v/>
      </c>
      <c r="AS177" s="96" t="str">
        <f>IF($R177&lt;&gt;"OK","",IF(AND($O177&lt;&gt;"Domestic",ISNUMBER(Setup!$C$22),Setup!$C$22&gt;Setup!$C$4),Setup!$C$22,Setup!$C$4))</f>
        <v/>
      </c>
      <c r="AT177" s="96" t="str">
        <f>IF($R177&lt;&gt;"OK","",IF($AB177=0,"",IF($O177="Domestic",$AG177,$AS177+$N177+Setup!$C$27+Setup!$C$11)))</f>
        <v/>
      </c>
    </row>
    <row r="178" ht="15" customHeight="1" s="46">
      <c r="A178" s="70" t="n"/>
      <c r="B178" s="70" t="n"/>
      <c r="C178" s="70" t="n"/>
      <c r="D178" s="85" t="n"/>
      <c r="E178" s="85" t="n"/>
      <c r="F178" s="86" t="n"/>
      <c r="G178" s="87" t="n"/>
      <c r="H178" s="88" t="n"/>
      <c r="I178" s="89" t="n"/>
      <c r="J178" s="90" t="n"/>
      <c r="K178" s="87" t="n"/>
      <c r="L178" s="87" t="n"/>
      <c r="M178" s="91" t="n"/>
      <c r="N178" s="92" t="n"/>
      <c r="O178" s="70" t="n"/>
      <c r="P178" s="92" t="n"/>
      <c r="Q178" s="87" t="n"/>
      <c r="R178" s="79" t="str">
        <f>IF($A178="","",IF($C178="","Missing: type",IF(OR($D178="",$D178&lt;=0),"Missing: unit cost",IF($E178="","Missing: unit price",IF($F178="","Missing: daily sales",IF($K178="","Missing: on hand",IF($N178="","Missing: production days",IF($O178="","Missing: freight mode",IF(ISNA(MATCH($O178,Setup!$B$25:$B$29,0)),"Unknown freight mode",IF(AND($L178&lt;&gt;"",$L178&gt;0,$M178=""),"Missing: on-order arrival date","OK"))))))))))</f>
        <v/>
      </c>
      <c r="S178" s="78" t="str">
        <f>IF($R178&lt;&gt;"OK","",IF($G178="","",ROUND($G178/IF(OR($H178="",$H178&lt;=0),4,$H178)*4,0)))</f>
        <v/>
      </c>
      <c r="T178" s="78" t="str">
        <f>IF($R178&lt;&gt;"OK","",ROUND(IF($G178="",$F178*4*Setup!$C$19,$G178/IF(OR($H178="",$H178&lt;=0),4,$H178)*4*(1+IF($I178="",Setup!$C$16,$I178)))*IF($J178="",1,$J178),0))</f>
        <v/>
      </c>
      <c r="U178" s="78" t="str">
        <f>IF($R178&lt;&gt;"OK","",ROUND($T178*Setup!$C$17,0))</f>
        <v/>
      </c>
      <c r="V178" s="78" t="str">
        <f>IF($R178&lt;&gt;"OK","",ROUND($T178*Setup!$C$18,0))</f>
        <v/>
      </c>
      <c r="W178" s="78" t="str">
        <f>IF($R178&lt;&gt;"OK","",IF($C178="Evergreen",$V178,IF($C178="Seasonal or new",$U178,$T178)))</f>
        <v/>
      </c>
      <c r="X178" s="78" t="str">
        <f>IF($R178&lt;&gt;"OK","",ROUND(($F178*MAX(0,MIN(Setup!$C$13+1,(Setup!$C$5-Setup!$C$7))-Setup!$C$4)+$F178*Setup!$C$8*MAX(0,MIN(Setup!$C$13+1,Setup!$C$5)-MAX((Setup!$C$5-Setup!$C$7),Setup!$C$4))+$W178/4*MAX(0,MIN(Setup!$C$13+1,Setup!$C$5+4)-MAX(Setup!$C$5,Setup!$C$4))+$F178*Setup!$C$14*MAX(0,Setup!$C$13+1-MAX(Setup!$C$5+4,Setup!$C$4))),0))</f>
        <v/>
      </c>
      <c r="Y178" s="78" t="str">
        <f>IF($R178&lt;&gt;"OK","",ROUND($F178*Setup!$C$15,0))</f>
        <v/>
      </c>
      <c r="Z178" s="78" t="str">
        <f>IF($R178&lt;&gt;"OK","",IF(AND($L178&lt;&gt;"",$L178&gt;0),IF($M178&lt;=Setup!$C$13,$L178,0),0))</f>
        <v/>
      </c>
      <c r="AA178" s="78" t="str">
        <f>IF($R178&lt;&gt;"OK","",MAX(0,$X178+$Y178-$K178-$Z178))</f>
        <v/>
      </c>
      <c r="AB178" s="78" t="str">
        <f>IF($R178&lt;&gt;"OK","",IF($AA178=0,0,CEILING(MAX($AA178,IF($Q178="",0,$Q178)),IF(OR($P178="",$P178&lt;=0),1,$P178))))</f>
        <v/>
      </c>
      <c r="AC178" s="78" t="str">
        <f>IF($R178&lt;&gt;"OK","",$AB178*$D178)</f>
        <v/>
      </c>
      <c r="AD178" s="93" t="str">
        <f>IF($R178&lt;&gt;"OK","",INDEX(Setup!$D$25:$D$29,MATCH($O178,Setup!$B$25:$B$29,0)))</f>
        <v/>
      </c>
      <c r="AE178" s="93" t="str">
        <f>IF($R178&lt;&gt;"OK","",$AD178-$N178)</f>
        <v/>
      </c>
      <c r="AF178" s="79" t="str">
        <f>IF($R178&lt;&gt;"OK","",IF($AB178=0,"No order needed",IF($AE178&gt;=$AS178,"Order by the deadline",IF(AND($O178&lt;&gt;"Domestic",Setup!$D$27-$N178&gt;=$AS178),"Late by this mode: fly it",IF(Setup!$D$28-$N178&gt;=$AS178,"Late: Express courier only",IF($AG178&lt;Setup!$C$5,"Tight: lands before Black Friday",IF(AND($O178&lt;&gt;"Domestic",$AT178&lt;Setup!$C$5),"Tight: by Air lands before Black Friday",IF($AS178+$N178+Setup!$C$28+Setup!$C$11&lt;Setup!$C$5,"Tight: by Express lands before Black Friday","Too late: ration"))))))))</f>
        <v/>
      </c>
      <c r="AG178" s="93" t="str">
        <f>IF($R178&lt;&gt;"OK","",IF($AB178=0,"",$AS178+$N178+INDEX(Setup!$C$25:$C$29,MATCH($O178,Setup!$B$25:$B$29,0))+Setup!$C$11))</f>
        <v/>
      </c>
      <c r="AH178" s="93" t="str">
        <f>IF($R178&lt;&gt;"OK","",IF($F178&lt;=0,"",INT(IF($K178&lt;($F178*MAX(0,(Setup!$C$5-Setup!$C$7)-Setup!$C$4)),Setup!$C$4+$K178/$F178,IF($K178&lt;($F178*MAX(0,(Setup!$C$5-Setup!$C$7)-Setup!$C$4))+($F178*Setup!$C$8*MAX(0,Setup!$C$5-MAX((Setup!$C$5-Setup!$C$7),Setup!$C$4))),MAX((Setup!$C$5-Setup!$C$7),Setup!$C$4)+($K178-($F178*MAX(0,(Setup!$C$5-Setup!$C$7)-Setup!$C$4)))/($F178*Setup!$C$8),IF(AND($W178&gt;0,$K178&lt;($F178*MAX(0,(Setup!$C$5-Setup!$C$7)-Setup!$C$4))+($F178*Setup!$C$8*MAX(0,Setup!$C$5-MAX((Setup!$C$5-Setup!$C$7),Setup!$C$4)))+($W178/4*MAX(0,Setup!$C$5+4-MAX(Setup!$C$5,Setup!$C$4)))),MAX(Setup!$C$5,Setup!$C$4)+($K178-($F178*MAX(0,(Setup!$C$5-Setup!$C$7)-Setup!$C$4))-($F178*Setup!$C$8*MAX(0,Setup!$C$5-MAX((Setup!$C$5-Setup!$C$7),Setup!$C$4))))/($W178/4),MAX(Setup!$C$5+4,Setup!$C$4)+($K178-($F178*MAX(0,(Setup!$C$5-Setup!$C$7)-Setup!$C$4))-($F178*Setup!$C$8*MAX(0,Setup!$C$5-MAX((Setup!$C$5-Setup!$C$7),Setup!$C$4)))-($W178/4*MAX(0,Setup!$C$5+4-MAX(Setup!$C$5,Setup!$C$4))))/($F178*Setup!$C$14)))))))</f>
        <v/>
      </c>
      <c r="AI178" s="79" t="str">
        <f>IF($R178&lt;&gt;"OK","",IF(AND($L178&lt;&gt;"",$L178&gt;0,ISNUMBER($AH178),$M178&gt;$AH178),"Runs out before the incoming delivery arrives",IF($AB178=0,"OK",IF($K178+IF(AND($L178&lt;&gt;"",$L178&gt;0),IF($M178&lt;=$AG178,$L178,0),0)&lt;($F178*MAX(0,MIN($AG178,(Setup!$C$5-Setup!$C$7))-Setup!$C$4)+$F178*Setup!$C$8*MAX(0,MIN($AG178,Setup!$C$5)-MAX((Setup!$C$5-Setup!$C$7),Setup!$C$4))+$W178/4*MAX(0,MIN($AG178,Setup!$C$5+4)-MAX(Setup!$C$5,Setup!$C$4))+$F178*Setup!$C$14*MAX(0,$AG178-MAX(Setup!$C$5+4,Setup!$C$4))),"Runs out before this order can land","OK"))))</f>
        <v/>
      </c>
      <c r="AJ178" s="78" t="str">
        <f>IF($R178&lt;&gt;"OK","",IF($AB178=0,0,IF($AL178="Too slow: send it all fast",$AB178,$AR178)))</f>
        <v/>
      </c>
      <c r="AK178" s="78" t="str">
        <f>IF($R178&lt;&gt;"OK","",$AB178-$AJ178)</f>
        <v/>
      </c>
      <c r="AL178" s="78" t="str">
        <f>IF($R178&lt;&gt;"OK","",IF($AB178=0,"",IF($AB178-$AR178=0,"Nothing left over",IF($O178="Domestic",IF($AG178&lt;=Setup!$C$6+Setup!$C$20+1,"Later units can go by Domestic","Too slow: send it all fast"),IF($AS178+$N178+Setup!$C$25+Setup!$C$11&lt;=Setup!$C$6+Setup!$C$20+1,"Later units can go by Ocean long",IF($AS178+$N178+Setup!$C$26+Setup!$C$11&lt;=Setup!$C$6+Setup!$C$20+1,"Later units can go by Ocean short",IF($AS178+$N178+Setup!$C$27+Setup!$C$11&lt;=Setup!$C$6+Setup!$C$20+1,"Later units can go by Air",IF($AS178+$N178+Setup!$C$28+Setup!$C$11&lt;=Setup!$C$6+Setup!$C$20+1,"Later units can go by Express","Too slow: send it all fast"))))))))</f>
        <v/>
      </c>
      <c r="AM178" s="94" t="str">
        <f>IF($R178&lt;&gt;"OK","",$E178-$D178)</f>
        <v/>
      </c>
      <c r="AN178" s="95" t="str">
        <f>IF($R178&lt;&gt;"OK","",($E178-$D178)/$D178)</f>
        <v/>
      </c>
      <c r="AO178" s="95" t="str">
        <f>IF($R178&lt;&gt;"OK","",IF($AB178&gt;0,$AN178+IF($C178="Evergreen",1000,0),""))</f>
        <v/>
      </c>
      <c r="AP178" s="78" t="str">
        <f>IF(OR($R178&lt;&gt;"OK",$AO178=""),"",COUNTIF($AO$6:$AO$205,"&gt;"&amp;$AO178)+COUNTIF($AO$6:$AO178,$AO178))</f>
        <v/>
      </c>
      <c r="AQ178" s="78" t="str">
        <f>IF(OR($R178&lt;&gt;"OK",$AP178=""),"",INDEX('Buy list'!$G$5:$G$204,$AP178))</f>
        <v/>
      </c>
      <c r="AR178" s="78" t="str">
        <f>IF($R178&lt;&gt;"OK","",IF($AB178=0,0,MIN($AB178,CEILING(MAX(0,($F178*MAX(0,MIN((Setup!$C$6+1+Setup!$C$20),(Setup!$C$5-Setup!$C$7))-Setup!$C$4)+$F178*Setup!$C$8*MAX(0,MIN((Setup!$C$6+1+Setup!$C$20),Setup!$C$5)-MAX((Setup!$C$5-Setup!$C$7),Setup!$C$4))+$W178/4*MAX(0,MIN((Setup!$C$6+1+Setup!$C$20),Setup!$C$5+4)-MAX(Setup!$C$5,Setup!$C$4))+$F178*Setup!$C$14*MAX(0,(Setup!$C$6+1+Setup!$C$20)-MAX(Setup!$C$5+4,Setup!$C$4)))+$Y178-$K178-IF(AND($L178&lt;&gt;"",$L178&gt;0),IF($M178&lt;=Setup!$C$10,$L178,0),0)),IF(OR($P178="",$P178&lt;=0),1,$P178)))))</f>
        <v/>
      </c>
      <c r="AS178" s="96" t="str">
        <f>IF($R178&lt;&gt;"OK","",IF(AND($O178&lt;&gt;"Domestic",ISNUMBER(Setup!$C$22),Setup!$C$22&gt;Setup!$C$4),Setup!$C$22,Setup!$C$4))</f>
        <v/>
      </c>
      <c r="AT178" s="96" t="str">
        <f>IF($R178&lt;&gt;"OK","",IF($AB178=0,"",IF($O178="Domestic",$AG178,$AS178+$N178+Setup!$C$27+Setup!$C$11)))</f>
        <v/>
      </c>
    </row>
    <row r="179" ht="15" customHeight="1" s="46">
      <c r="A179" s="70" t="n"/>
      <c r="B179" s="70" t="n"/>
      <c r="C179" s="70" t="n"/>
      <c r="D179" s="85" t="n"/>
      <c r="E179" s="85" t="n"/>
      <c r="F179" s="86" t="n"/>
      <c r="G179" s="87" t="n"/>
      <c r="H179" s="88" t="n"/>
      <c r="I179" s="89" t="n"/>
      <c r="J179" s="90" t="n"/>
      <c r="K179" s="87" t="n"/>
      <c r="L179" s="87" t="n"/>
      <c r="M179" s="91" t="n"/>
      <c r="N179" s="92" t="n"/>
      <c r="O179" s="70" t="n"/>
      <c r="P179" s="92" t="n"/>
      <c r="Q179" s="87" t="n"/>
      <c r="R179" s="79" t="str">
        <f>IF($A179="","",IF($C179="","Missing: type",IF(OR($D179="",$D179&lt;=0),"Missing: unit cost",IF($E179="","Missing: unit price",IF($F179="","Missing: daily sales",IF($K179="","Missing: on hand",IF($N179="","Missing: production days",IF($O179="","Missing: freight mode",IF(ISNA(MATCH($O179,Setup!$B$25:$B$29,0)),"Unknown freight mode",IF(AND($L179&lt;&gt;"",$L179&gt;0,$M179=""),"Missing: on-order arrival date","OK"))))))))))</f>
        <v/>
      </c>
      <c r="S179" s="78" t="str">
        <f>IF($R179&lt;&gt;"OK","",IF($G179="","",ROUND($G179/IF(OR($H179="",$H179&lt;=0),4,$H179)*4,0)))</f>
        <v/>
      </c>
      <c r="T179" s="78" t="str">
        <f>IF($R179&lt;&gt;"OK","",ROUND(IF($G179="",$F179*4*Setup!$C$19,$G179/IF(OR($H179="",$H179&lt;=0),4,$H179)*4*(1+IF($I179="",Setup!$C$16,$I179)))*IF($J179="",1,$J179),0))</f>
        <v/>
      </c>
      <c r="U179" s="78" t="str">
        <f>IF($R179&lt;&gt;"OK","",ROUND($T179*Setup!$C$17,0))</f>
        <v/>
      </c>
      <c r="V179" s="78" t="str">
        <f>IF($R179&lt;&gt;"OK","",ROUND($T179*Setup!$C$18,0))</f>
        <v/>
      </c>
      <c r="W179" s="78" t="str">
        <f>IF($R179&lt;&gt;"OK","",IF($C179="Evergreen",$V179,IF($C179="Seasonal or new",$U179,$T179)))</f>
        <v/>
      </c>
      <c r="X179" s="78" t="str">
        <f>IF($R179&lt;&gt;"OK","",ROUND(($F179*MAX(0,MIN(Setup!$C$13+1,(Setup!$C$5-Setup!$C$7))-Setup!$C$4)+$F179*Setup!$C$8*MAX(0,MIN(Setup!$C$13+1,Setup!$C$5)-MAX((Setup!$C$5-Setup!$C$7),Setup!$C$4))+$W179/4*MAX(0,MIN(Setup!$C$13+1,Setup!$C$5+4)-MAX(Setup!$C$5,Setup!$C$4))+$F179*Setup!$C$14*MAX(0,Setup!$C$13+1-MAX(Setup!$C$5+4,Setup!$C$4))),0))</f>
        <v/>
      </c>
      <c r="Y179" s="78" t="str">
        <f>IF($R179&lt;&gt;"OK","",ROUND($F179*Setup!$C$15,0))</f>
        <v/>
      </c>
      <c r="Z179" s="78" t="str">
        <f>IF($R179&lt;&gt;"OK","",IF(AND($L179&lt;&gt;"",$L179&gt;0),IF($M179&lt;=Setup!$C$13,$L179,0),0))</f>
        <v/>
      </c>
      <c r="AA179" s="78" t="str">
        <f>IF($R179&lt;&gt;"OK","",MAX(0,$X179+$Y179-$K179-$Z179))</f>
        <v/>
      </c>
      <c r="AB179" s="78" t="str">
        <f>IF($R179&lt;&gt;"OK","",IF($AA179=0,0,CEILING(MAX($AA179,IF($Q179="",0,$Q179)),IF(OR($P179="",$P179&lt;=0),1,$P179))))</f>
        <v/>
      </c>
      <c r="AC179" s="78" t="str">
        <f>IF($R179&lt;&gt;"OK","",$AB179*$D179)</f>
        <v/>
      </c>
      <c r="AD179" s="93" t="str">
        <f>IF($R179&lt;&gt;"OK","",INDEX(Setup!$D$25:$D$29,MATCH($O179,Setup!$B$25:$B$29,0)))</f>
        <v/>
      </c>
      <c r="AE179" s="93" t="str">
        <f>IF($R179&lt;&gt;"OK","",$AD179-$N179)</f>
        <v/>
      </c>
      <c r="AF179" s="79" t="str">
        <f>IF($R179&lt;&gt;"OK","",IF($AB179=0,"No order needed",IF($AE179&gt;=$AS179,"Order by the deadline",IF(AND($O179&lt;&gt;"Domestic",Setup!$D$27-$N179&gt;=$AS179),"Late by this mode: fly it",IF(Setup!$D$28-$N179&gt;=$AS179,"Late: Express courier only",IF($AG179&lt;Setup!$C$5,"Tight: lands before Black Friday",IF(AND($O179&lt;&gt;"Domestic",$AT179&lt;Setup!$C$5),"Tight: by Air lands before Black Friday",IF($AS179+$N179+Setup!$C$28+Setup!$C$11&lt;Setup!$C$5,"Tight: by Express lands before Black Friday","Too late: ration"))))))))</f>
        <v/>
      </c>
      <c r="AG179" s="93" t="str">
        <f>IF($R179&lt;&gt;"OK","",IF($AB179=0,"",$AS179+$N179+INDEX(Setup!$C$25:$C$29,MATCH($O179,Setup!$B$25:$B$29,0))+Setup!$C$11))</f>
        <v/>
      </c>
      <c r="AH179" s="93" t="str">
        <f>IF($R179&lt;&gt;"OK","",IF($F179&lt;=0,"",INT(IF($K179&lt;($F179*MAX(0,(Setup!$C$5-Setup!$C$7)-Setup!$C$4)),Setup!$C$4+$K179/$F179,IF($K179&lt;($F179*MAX(0,(Setup!$C$5-Setup!$C$7)-Setup!$C$4))+($F179*Setup!$C$8*MAX(0,Setup!$C$5-MAX((Setup!$C$5-Setup!$C$7),Setup!$C$4))),MAX((Setup!$C$5-Setup!$C$7),Setup!$C$4)+($K179-($F179*MAX(0,(Setup!$C$5-Setup!$C$7)-Setup!$C$4)))/($F179*Setup!$C$8),IF(AND($W179&gt;0,$K179&lt;($F179*MAX(0,(Setup!$C$5-Setup!$C$7)-Setup!$C$4))+($F179*Setup!$C$8*MAX(0,Setup!$C$5-MAX((Setup!$C$5-Setup!$C$7),Setup!$C$4)))+($W179/4*MAX(0,Setup!$C$5+4-MAX(Setup!$C$5,Setup!$C$4)))),MAX(Setup!$C$5,Setup!$C$4)+($K179-($F179*MAX(0,(Setup!$C$5-Setup!$C$7)-Setup!$C$4))-($F179*Setup!$C$8*MAX(0,Setup!$C$5-MAX((Setup!$C$5-Setup!$C$7),Setup!$C$4))))/($W179/4),MAX(Setup!$C$5+4,Setup!$C$4)+($K179-($F179*MAX(0,(Setup!$C$5-Setup!$C$7)-Setup!$C$4))-($F179*Setup!$C$8*MAX(0,Setup!$C$5-MAX((Setup!$C$5-Setup!$C$7),Setup!$C$4)))-($W179/4*MAX(0,Setup!$C$5+4-MAX(Setup!$C$5,Setup!$C$4))))/($F179*Setup!$C$14)))))))</f>
        <v/>
      </c>
      <c r="AI179" s="79" t="str">
        <f>IF($R179&lt;&gt;"OK","",IF(AND($L179&lt;&gt;"",$L179&gt;0,ISNUMBER($AH179),$M179&gt;$AH179),"Runs out before the incoming delivery arrives",IF($AB179=0,"OK",IF($K179+IF(AND($L179&lt;&gt;"",$L179&gt;0),IF($M179&lt;=$AG179,$L179,0),0)&lt;($F179*MAX(0,MIN($AG179,(Setup!$C$5-Setup!$C$7))-Setup!$C$4)+$F179*Setup!$C$8*MAX(0,MIN($AG179,Setup!$C$5)-MAX((Setup!$C$5-Setup!$C$7),Setup!$C$4))+$W179/4*MAX(0,MIN($AG179,Setup!$C$5+4)-MAX(Setup!$C$5,Setup!$C$4))+$F179*Setup!$C$14*MAX(0,$AG179-MAX(Setup!$C$5+4,Setup!$C$4))),"Runs out before this order can land","OK"))))</f>
        <v/>
      </c>
      <c r="AJ179" s="78" t="str">
        <f>IF($R179&lt;&gt;"OK","",IF($AB179=0,0,IF($AL179="Too slow: send it all fast",$AB179,$AR179)))</f>
        <v/>
      </c>
      <c r="AK179" s="78" t="str">
        <f>IF($R179&lt;&gt;"OK","",$AB179-$AJ179)</f>
        <v/>
      </c>
      <c r="AL179" s="78" t="str">
        <f>IF($R179&lt;&gt;"OK","",IF($AB179=0,"",IF($AB179-$AR179=0,"Nothing left over",IF($O179="Domestic",IF($AG179&lt;=Setup!$C$6+Setup!$C$20+1,"Later units can go by Domestic","Too slow: send it all fast"),IF($AS179+$N179+Setup!$C$25+Setup!$C$11&lt;=Setup!$C$6+Setup!$C$20+1,"Later units can go by Ocean long",IF($AS179+$N179+Setup!$C$26+Setup!$C$11&lt;=Setup!$C$6+Setup!$C$20+1,"Later units can go by Ocean short",IF($AS179+$N179+Setup!$C$27+Setup!$C$11&lt;=Setup!$C$6+Setup!$C$20+1,"Later units can go by Air",IF($AS179+$N179+Setup!$C$28+Setup!$C$11&lt;=Setup!$C$6+Setup!$C$20+1,"Later units can go by Express","Too slow: send it all fast"))))))))</f>
        <v/>
      </c>
      <c r="AM179" s="94" t="str">
        <f>IF($R179&lt;&gt;"OK","",$E179-$D179)</f>
        <v/>
      </c>
      <c r="AN179" s="95" t="str">
        <f>IF($R179&lt;&gt;"OK","",($E179-$D179)/$D179)</f>
        <v/>
      </c>
      <c r="AO179" s="95" t="str">
        <f>IF($R179&lt;&gt;"OK","",IF($AB179&gt;0,$AN179+IF($C179="Evergreen",1000,0),""))</f>
        <v/>
      </c>
      <c r="AP179" s="78" t="str">
        <f>IF(OR($R179&lt;&gt;"OK",$AO179=""),"",COUNTIF($AO$6:$AO$205,"&gt;"&amp;$AO179)+COUNTIF($AO$6:$AO179,$AO179))</f>
        <v/>
      </c>
      <c r="AQ179" s="78" t="str">
        <f>IF(OR($R179&lt;&gt;"OK",$AP179=""),"",INDEX('Buy list'!$G$5:$G$204,$AP179))</f>
        <v/>
      </c>
      <c r="AR179" s="78" t="str">
        <f>IF($R179&lt;&gt;"OK","",IF($AB179=0,0,MIN($AB179,CEILING(MAX(0,($F179*MAX(0,MIN((Setup!$C$6+1+Setup!$C$20),(Setup!$C$5-Setup!$C$7))-Setup!$C$4)+$F179*Setup!$C$8*MAX(0,MIN((Setup!$C$6+1+Setup!$C$20),Setup!$C$5)-MAX((Setup!$C$5-Setup!$C$7),Setup!$C$4))+$W179/4*MAX(0,MIN((Setup!$C$6+1+Setup!$C$20),Setup!$C$5+4)-MAX(Setup!$C$5,Setup!$C$4))+$F179*Setup!$C$14*MAX(0,(Setup!$C$6+1+Setup!$C$20)-MAX(Setup!$C$5+4,Setup!$C$4)))+$Y179-$K179-IF(AND($L179&lt;&gt;"",$L179&gt;0),IF($M179&lt;=Setup!$C$10,$L179,0),0)),IF(OR($P179="",$P179&lt;=0),1,$P179)))))</f>
        <v/>
      </c>
      <c r="AS179" s="96" t="str">
        <f>IF($R179&lt;&gt;"OK","",IF(AND($O179&lt;&gt;"Domestic",ISNUMBER(Setup!$C$22),Setup!$C$22&gt;Setup!$C$4),Setup!$C$22,Setup!$C$4))</f>
        <v/>
      </c>
      <c r="AT179" s="96" t="str">
        <f>IF($R179&lt;&gt;"OK","",IF($AB179=0,"",IF($O179="Domestic",$AG179,$AS179+$N179+Setup!$C$27+Setup!$C$11)))</f>
        <v/>
      </c>
    </row>
    <row r="180" ht="15" customHeight="1" s="46">
      <c r="A180" s="70" t="n"/>
      <c r="B180" s="70" t="n"/>
      <c r="C180" s="70" t="n"/>
      <c r="D180" s="85" t="n"/>
      <c r="E180" s="85" t="n"/>
      <c r="F180" s="86" t="n"/>
      <c r="G180" s="87" t="n"/>
      <c r="H180" s="88" t="n"/>
      <c r="I180" s="89" t="n"/>
      <c r="J180" s="90" t="n"/>
      <c r="K180" s="87" t="n"/>
      <c r="L180" s="87" t="n"/>
      <c r="M180" s="91" t="n"/>
      <c r="N180" s="92" t="n"/>
      <c r="O180" s="70" t="n"/>
      <c r="P180" s="92" t="n"/>
      <c r="Q180" s="87" t="n"/>
      <c r="R180" s="79" t="str">
        <f>IF($A180="","",IF($C180="","Missing: type",IF(OR($D180="",$D180&lt;=0),"Missing: unit cost",IF($E180="","Missing: unit price",IF($F180="","Missing: daily sales",IF($K180="","Missing: on hand",IF($N180="","Missing: production days",IF($O180="","Missing: freight mode",IF(ISNA(MATCH($O180,Setup!$B$25:$B$29,0)),"Unknown freight mode",IF(AND($L180&lt;&gt;"",$L180&gt;0,$M180=""),"Missing: on-order arrival date","OK"))))))))))</f>
        <v/>
      </c>
      <c r="S180" s="78" t="str">
        <f>IF($R180&lt;&gt;"OK","",IF($G180="","",ROUND($G180/IF(OR($H180="",$H180&lt;=0),4,$H180)*4,0)))</f>
        <v/>
      </c>
      <c r="T180" s="78" t="str">
        <f>IF($R180&lt;&gt;"OK","",ROUND(IF($G180="",$F180*4*Setup!$C$19,$G180/IF(OR($H180="",$H180&lt;=0),4,$H180)*4*(1+IF($I180="",Setup!$C$16,$I180)))*IF($J180="",1,$J180),0))</f>
        <v/>
      </c>
      <c r="U180" s="78" t="str">
        <f>IF($R180&lt;&gt;"OK","",ROUND($T180*Setup!$C$17,0))</f>
        <v/>
      </c>
      <c r="V180" s="78" t="str">
        <f>IF($R180&lt;&gt;"OK","",ROUND($T180*Setup!$C$18,0))</f>
        <v/>
      </c>
      <c r="W180" s="78" t="str">
        <f>IF($R180&lt;&gt;"OK","",IF($C180="Evergreen",$V180,IF($C180="Seasonal or new",$U180,$T180)))</f>
        <v/>
      </c>
      <c r="X180" s="78" t="str">
        <f>IF($R180&lt;&gt;"OK","",ROUND(($F180*MAX(0,MIN(Setup!$C$13+1,(Setup!$C$5-Setup!$C$7))-Setup!$C$4)+$F180*Setup!$C$8*MAX(0,MIN(Setup!$C$13+1,Setup!$C$5)-MAX((Setup!$C$5-Setup!$C$7),Setup!$C$4))+$W180/4*MAX(0,MIN(Setup!$C$13+1,Setup!$C$5+4)-MAX(Setup!$C$5,Setup!$C$4))+$F180*Setup!$C$14*MAX(0,Setup!$C$13+1-MAX(Setup!$C$5+4,Setup!$C$4))),0))</f>
        <v/>
      </c>
      <c r="Y180" s="78" t="str">
        <f>IF($R180&lt;&gt;"OK","",ROUND($F180*Setup!$C$15,0))</f>
        <v/>
      </c>
      <c r="Z180" s="78" t="str">
        <f>IF($R180&lt;&gt;"OK","",IF(AND($L180&lt;&gt;"",$L180&gt;0),IF($M180&lt;=Setup!$C$13,$L180,0),0))</f>
        <v/>
      </c>
      <c r="AA180" s="78" t="str">
        <f>IF($R180&lt;&gt;"OK","",MAX(0,$X180+$Y180-$K180-$Z180))</f>
        <v/>
      </c>
      <c r="AB180" s="78" t="str">
        <f>IF($R180&lt;&gt;"OK","",IF($AA180=0,0,CEILING(MAX($AA180,IF($Q180="",0,$Q180)),IF(OR($P180="",$P180&lt;=0),1,$P180))))</f>
        <v/>
      </c>
      <c r="AC180" s="78" t="str">
        <f>IF($R180&lt;&gt;"OK","",$AB180*$D180)</f>
        <v/>
      </c>
      <c r="AD180" s="93" t="str">
        <f>IF($R180&lt;&gt;"OK","",INDEX(Setup!$D$25:$D$29,MATCH($O180,Setup!$B$25:$B$29,0)))</f>
        <v/>
      </c>
      <c r="AE180" s="93" t="str">
        <f>IF($R180&lt;&gt;"OK","",$AD180-$N180)</f>
        <v/>
      </c>
      <c r="AF180" s="79" t="str">
        <f>IF($R180&lt;&gt;"OK","",IF($AB180=0,"No order needed",IF($AE180&gt;=$AS180,"Order by the deadline",IF(AND($O180&lt;&gt;"Domestic",Setup!$D$27-$N180&gt;=$AS180),"Late by this mode: fly it",IF(Setup!$D$28-$N180&gt;=$AS180,"Late: Express courier only",IF($AG180&lt;Setup!$C$5,"Tight: lands before Black Friday",IF(AND($O180&lt;&gt;"Domestic",$AT180&lt;Setup!$C$5),"Tight: by Air lands before Black Friday",IF($AS180+$N180+Setup!$C$28+Setup!$C$11&lt;Setup!$C$5,"Tight: by Express lands before Black Friday","Too late: ration"))))))))</f>
        <v/>
      </c>
      <c r="AG180" s="93" t="str">
        <f>IF($R180&lt;&gt;"OK","",IF($AB180=0,"",$AS180+$N180+INDEX(Setup!$C$25:$C$29,MATCH($O180,Setup!$B$25:$B$29,0))+Setup!$C$11))</f>
        <v/>
      </c>
      <c r="AH180" s="93" t="str">
        <f>IF($R180&lt;&gt;"OK","",IF($F180&lt;=0,"",INT(IF($K180&lt;($F180*MAX(0,(Setup!$C$5-Setup!$C$7)-Setup!$C$4)),Setup!$C$4+$K180/$F180,IF($K180&lt;($F180*MAX(0,(Setup!$C$5-Setup!$C$7)-Setup!$C$4))+($F180*Setup!$C$8*MAX(0,Setup!$C$5-MAX((Setup!$C$5-Setup!$C$7),Setup!$C$4))),MAX((Setup!$C$5-Setup!$C$7),Setup!$C$4)+($K180-($F180*MAX(0,(Setup!$C$5-Setup!$C$7)-Setup!$C$4)))/($F180*Setup!$C$8),IF(AND($W180&gt;0,$K180&lt;($F180*MAX(0,(Setup!$C$5-Setup!$C$7)-Setup!$C$4))+($F180*Setup!$C$8*MAX(0,Setup!$C$5-MAX((Setup!$C$5-Setup!$C$7),Setup!$C$4)))+($W180/4*MAX(0,Setup!$C$5+4-MAX(Setup!$C$5,Setup!$C$4)))),MAX(Setup!$C$5,Setup!$C$4)+($K180-($F180*MAX(0,(Setup!$C$5-Setup!$C$7)-Setup!$C$4))-($F180*Setup!$C$8*MAX(0,Setup!$C$5-MAX((Setup!$C$5-Setup!$C$7),Setup!$C$4))))/($W180/4),MAX(Setup!$C$5+4,Setup!$C$4)+($K180-($F180*MAX(0,(Setup!$C$5-Setup!$C$7)-Setup!$C$4))-($F180*Setup!$C$8*MAX(0,Setup!$C$5-MAX((Setup!$C$5-Setup!$C$7),Setup!$C$4)))-($W180/4*MAX(0,Setup!$C$5+4-MAX(Setup!$C$5,Setup!$C$4))))/($F180*Setup!$C$14)))))))</f>
        <v/>
      </c>
      <c r="AI180" s="79" t="str">
        <f>IF($R180&lt;&gt;"OK","",IF(AND($L180&lt;&gt;"",$L180&gt;0,ISNUMBER($AH180),$M180&gt;$AH180),"Runs out before the incoming delivery arrives",IF($AB180=0,"OK",IF($K180+IF(AND($L180&lt;&gt;"",$L180&gt;0),IF($M180&lt;=$AG180,$L180,0),0)&lt;($F180*MAX(0,MIN($AG180,(Setup!$C$5-Setup!$C$7))-Setup!$C$4)+$F180*Setup!$C$8*MAX(0,MIN($AG180,Setup!$C$5)-MAX((Setup!$C$5-Setup!$C$7),Setup!$C$4))+$W180/4*MAX(0,MIN($AG180,Setup!$C$5+4)-MAX(Setup!$C$5,Setup!$C$4))+$F180*Setup!$C$14*MAX(0,$AG180-MAX(Setup!$C$5+4,Setup!$C$4))),"Runs out before this order can land","OK"))))</f>
        <v/>
      </c>
      <c r="AJ180" s="78" t="str">
        <f>IF($R180&lt;&gt;"OK","",IF($AB180=0,0,IF($AL180="Too slow: send it all fast",$AB180,$AR180)))</f>
        <v/>
      </c>
      <c r="AK180" s="78" t="str">
        <f>IF($R180&lt;&gt;"OK","",$AB180-$AJ180)</f>
        <v/>
      </c>
      <c r="AL180" s="78" t="str">
        <f>IF($R180&lt;&gt;"OK","",IF($AB180=0,"",IF($AB180-$AR180=0,"Nothing left over",IF($O180="Domestic",IF($AG180&lt;=Setup!$C$6+Setup!$C$20+1,"Later units can go by Domestic","Too slow: send it all fast"),IF($AS180+$N180+Setup!$C$25+Setup!$C$11&lt;=Setup!$C$6+Setup!$C$20+1,"Later units can go by Ocean long",IF($AS180+$N180+Setup!$C$26+Setup!$C$11&lt;=Setup!$C$6+Setup!$C$20+1,"Later units can go by Ocean short",IF($AS180+$N180+Setup!$C$27+Setup!$C$11&lt;=Setup!$C$6+Setup!$C$20+1,"Later units can go by Air",IF($AS180+$N180+Setup!$C$28+Setup!$C$11&lt;=Setup!$C$6+Setup!$C$20+1,"Later units can go by Express","Too slow: send it all fast"))))))))</f>
        <v/>
      </c>
      <c r="AM180" s="94" t="str">
        <f>IF($R180&lt;&gt;"OK","",$E180-$D180)</f>
        <v/>
      </c>
      <c r="AN180" s="95" t="str">
        <f>IF($R180&lt;&gt;"OK","",($E180-$D180)/$D180)</f>
        <v/>
      </c>
      <c r="AO180" s="95" t="str">
        <f>IF($R180&lt;&gt;"OK","",IF($AB180&gt;0,$AN180+IF($C180="Evergreen",1000,0),""))</f>
        <v/>
      </c>
      <c r="AP180" s="78" t="str">
        <f>IF(OR($R180&lt;&gt;"OK",$AO180=""),"",COUNTIF($AO$6:$AO$205,"&gt;"&amp;$AO180)+COUNTIF($AO$6:$AO180,$AO180))</f>
        <v/>
      </c>
      <c r="AQ180" s="78" t="str">
        <f>IF(OR($R180&lt;&gt;"OK",$AP180=""),"",INDEX('Buy list'!$G$5:$G$204,$AP180))</f>
        <v/>
      </c>
      <c r="AR180" s="78" t="str">
        <f>IF($R180&lt;&gt;"OK","",IF($AB180=0,0,MIN($AB180,CEILING(MAX(0,($F180*MAX(0,MIN((Setup!$C$6+1+Setup!$C$20),(Setup!$C$5-Setup!$C$7))-Setup!$C$4)+$F180*Setup!$C$8*MAX(0,MIN((Setup!$C$6+1+Setup!$C$20),Setup!$C$5)-MAX((Setup!$C$5-Setup!$C$7),Setup!$C$4))+$W180/4*MAX(0,MIN((Setup!$C$6+1+Setup!$C$20),Setup!$C$5+4)-MAX(Setup!$C$5,Setup!$C$4))+$F180*Setup!$C$14*MAX(0,(Setup!$C$6+1+Setup!$C$20)-MAX(Setup!$C$5+4,Setup!$C$4)))+$Y180-$K180-IF(AND($L180&lt;&gt;"",$L180&gt;0),IF($M180&lt;=Setup!$C$10,$L180,0),0)),IF(OR($P180="",$P180&lt;=0),1,$P180)))))</f>
        <v/>
      </c>
      <c r="AS180" s="96" t="str">
        <f>IF($R180&lt;&gt;"OK","",IF(AND($O180&lt;&gt;"Domestic",ISNUMBER(Setup!$C$22),Setup!$C$22&gt;Setup!$C$4),Setup!$C$22,Setup!$C$4))</f>
        <v/>
      </c>
      <c r="AT180" s="96" t="str">
        <f>IF($R180&lt;&gt;"OK","",IF($AB180=0,"",IF($O180="Domestic",$AG180,$AS180+$N180+Setup!$C$27+Setup!$C$11)))</f>
        <v/>
      </c>
    </row>
    <row r="181" ht="15" customHeight="1" s="46">
      <c r="A181" s="70" t="n"/>
      <c r="B181" s="70" t="n"/>
      <c r="C181" s="70" t="n"/>
      <c r="D181" s="85" t="n"/>
      <c r="E181" s="85" t="n"/>
      <c r="F181" s="86" t="n"/>
      <c r="G181" s="87" t="n"/>
      <c r="H181" s="88" t="n"/>
      <c r="I181" s="89" t="n"/>
      <c r="J181" s="90" t="n"/>
      <c r="K181" s="87" t="n"/>
      <c r="L181" s="87" t="n"/>
      <c r="M181" s="91" t="n"/>
      <c r="N181" s="92" t="n"/>
      <c r="O181" s="70" t="n"/>
      <c r="P181" s="92" t="n"/>
      <c r="Q181" s="87" t="n"/>
      <c r="R181" s="79" t="str">
        <f>IF($A181="","",IF($C181="","Missing: type",IF(OR($D181="",$D181&lt;=0),"Missing: unit cost",IF($E181="","Missing: unit price",IF($F181="","Missing: daily sales",IF($K181="","Missing: on hand",IF($N181="","Missing: production days",IF($O181="","Missing: freight mode",IF(ISNA(MATCH($O181,Setup!$B$25:$B$29,0)),"Unknown freight mode",IF(AND($L181&lt;&gt;"",$L181&gt;0,$M181=""),"Missing: on-order arrival date","OK"))))))))))</f>
        <v/>
      </c>
      <c r="S181" s="78" t="str">
        <f>IF($R181&lt;&gt;"OK","",IF($G181="","",ROUND($G181/IF(OR($H181="",$H181&lt;=0),4,$H181)*4,0)))</f>
        <v/>
      </c>
      <c r="T181" s="78" t="str">
        <f>IF($R181&lt;&gt;"OK","",ROUND(IF($G181="",$F181*4*Setup!$C$19,$G181/IF(OR($H181="",$H181&lt;=0),4,$H181)*4*(1+IF($I181="",Setup!$C$16,$I181)))*IF($J181="",1,$J181),0))</f>
        <v/>
      </c>
      <c r="U181" s="78" t="str">
        <f>IF($R181&lt;&gt;"OK","",ROUND($T181*Setup!$C$17,0))</f>
        <v/>
      </c>
      <c r="V181" s="78" t="str">
        <f>IF($R181&lt;&gt;"OK","",ROUND($T181*Setup!$C$18,0))</f>
        <v/>
      </c>
      <c r="W181" s="78" t="str">
        <f>IF($R181&lt;&gt;"OK","",IF($C181="Evergreen",$V181,IF($C181="Seasonal or new",$U181,$T181)))</f>
        <v/>
      </c>
      <c r="X181" s="78" t="str">
        <f>IF($R181&lt;&gt;"OK","",ROUND(($F181*MAX(0,MIN(Setup!$C$13+1,(Setup!$C$5-Setup!$C$7))-Setup!$C$4)+$F181*Setup!$C$8*MAX(0,MIN(Setup!$C$13+1,Setup!$C$5)-MAX((Setup!$C$5-Setup!$C$7),Setup!$C$4))+$W181/4*MAX(0,MIN(Setup!$C$13+1,Setup!$C$5+4)-MAX(Setup!$C$5,Setup!$C$4))+$F181*Setup!$C$14*MAX(0,Setup!$C$13+1-MAX(Setup!$C$5+4,Setup!$C$4))),0))</f>
        <v/>
      </c>
      <c r="Y181" s="78" t="str">
        <f>IF($R181&lt;&gt;"OK","",ROUND($F181*Setup!$C$15,0))</f>
        <v/>
      </c>
      <c r="Z181" s="78" t="str">
        <f>IF($R181&lt;&gt;"OK","",IF(AND($L181&lt;&gt;"",$L181&gt;0),IF($M181&lt;=Setup!$C$13,$L181,0),0))</f>
        <v/>
      </c>
      <c r="AA181" s="78" t="str">
        <f>IF($R181&lt;&gt;"OK","",MAX(0,$X181+$Y181-$K181-$Z181))</f>
        <v/>
      </c>
      <c r="AB181" s="78" t="str">
        <f>IF($R181&lt;&gt;"OK","",IF($AA181=0,0,CEILING(MAX($AA181,IF($Q181="",0,$Q181)),IF(OR($P181="",$P181&lt;=0),1,$P181))))</f>
        <v/>
      </c>
      <c r="AC181" s="78" t="str">
        <f>IF($R181&lt;&gt;"OK","",$AB181*$D181)</f>
        <v/>
      </c>
      <c r="AD181" s="93" t="str">
        <f>IF($R181&lt;&gt;"OK","",INDEX(Setup!$D$25:$D$29,MATCH($O181,Setup!$B$25:$B$29,0)))</f>
        <v/>
      </c>
      <c r="AE181" s="93" t="str">
        <f>IF($R181&lt;&gt;"OK","",$AD181-$N181)</f>
        <v/>
      </c>
      <c r="AF181" s="79" t="str">
        <f>IF($R181&lt;&gt;"OK","",IF($AB181=0,"No order needed",IF($AE181&gt;=$AS181,"Order by the deadline",IF(AND($O181&lt;&gt;"Domestic",Setup!$D$27-$N181&gt;=$AS181),"Late by this mode: fly it",IF(Setup!$D$28-$N181&gt;=$AS181,"Late: Express courier only",IF($AG181&lt;Setup!$C$5,"Tight: lands before Black Friday",IF(AND($O181&lt;&gt;"Domestic",$AT181&lt;Setup!$C$5),"Tight: by Air lands before Black Friday",IF($AS181+$N181+Setup!$C$28+Setup!$C$11&lt;Setup!$C$5,"Tight: by Express lands before Black Friday","Too late: ration"))))))))</f>
        <v/>
      </c>
      <c r="AG181" s="93" t="str">
        <f>IF($R181&lt;&gt;"OK","",IF($AB181=0,"",$AS181+$N181+INDEX(Setup!$C$25:$C$29,MATCH($O181,Setup!$B$25:$B$29,0))+Setup!$C$11))</f>
        <v/>
      </c>
      <c r="AH181" s="93" t="str">
        <f>IF($R181&lt;&gt;"OK","",IF($F181&lt;=0,"",INT(IF($K181&lt;($F181*MAX(0,(Setup!$C$5-Setup!$C$7)-Setup!$C$4)),Setup!$C$4+$K181/$F181,IF($K181&lt;($F181*MAX(0,(Setup!$C$5-Setup!$C$7)-Setup!$C$4))+($F181*Setup!$C$8*MAX(0,Setup!$C$5-MAX((Setup!$C$5-Setup!$C$7),Setup!$C$4))),MAX((Setup!$C$5-Setup!$C$7),Setup!$C$4)+($K181-($F181*MAX(0,(Setup!$C$5-Setup!$C$7)-Setup!$C$4)))/($F181*Setup!$C$8),IF(AND($W181&gt;0,$K181&lt;($F181*MAX(0,(Setup!$C$5-Setup!$C$7)-Setup!$C$4))+($F181*Setup!$C$8*MAX(0,Setup!$C$5-MAX((Setup!$C$5-Setup!$C$7),Setup!$C$4)))+($W181/4*MAX(0,Setup!$C$5+4-MAX(Setup!$C$5,Setup!$C$4)))),MAX(Setup!$C$5,Setup!$C$4)+($K181-($F181*MAX(0,(Setup!$C$5-Setup!$C$7)-Setup!$C$4))-($F181*Setup!$C$8*MAX(0,Setup!$C$5-MAX((Setup!$C$5-Setup!$C$7),Setup!$C$4))))/($W181/4),MAX(Setup!$C$5+4,Setup!$C$4)+($K181-($F181*MAX(0,(Setup!$C$5-Setup!$C$7)-Setup!$C$4))-($F181*Setup!$C$8*MAX(0,Setup!$C$5-MAX((Setup!$C$5-Setup!$C$7),Setup!$C$4)))-($W181/4*MAX(0,Setup!$C$5+4-MAX(Setup!$C$5,Setup!$C$4))))/($F181*Setup!$C$14)))))))</f>
        <v/>
      </c>
      <c r="AI181" s="79" t="str">
        <f>IF($R181&lt;&gt;"OK","",IF(AND($L181&lt;&gt;"",$L181&gt;0,ISNUMBER($AH181),$M181&gt;$AH181),"Runs out before the incoming delivery arrives",IF($AB181=0,"OK",IF($K181+IF(AND($L181&lt;&gt;"",$L181&gt;0),IF($M181&lt;=$AG181,$L181,0),0)&lt;($F181*MAX(0,MIN($AG181,(Setup!$C$5-Setup!$C$7))-Setup!$C$4)+$F181*Setup!$C$8*MAX(0,MIN($AG181,Setup!$C$5)-MAX((Setup!$C$5-Setup!$C$7),Setup!$C$4))+$W181/4*MAX(0,MIN($AG181,Setup!$C$5+4)-MAX(Setup!$C$5,Setup!$C$4))+$F181*Setup!$C$14*MAX(0,$AG181-MAX(Setup!$C$5+4,Setup!$C$4))),"Runs out before this order can land","OK"))))</f>
        <v/>
      </c>
      <c r="AJ181" s="78" t="str">
        <f>IF($R181&lt;&gt;"OK","",IF($AB181=0,0,IF($AL181="Too slow: send it all fast",$AB181,$AR181)))</f>
        <v/>
      </c>
      <c r="AK181" s="78" t="str">
        <f>IF($R181&lt;&gt;"OK","",$AB181-$AJ181)</f>
        <v/>
      </c>
      <c r="AL181" s="78" t="str">
        <f>IF($R181&lt;&gt;"OK","",IF($AB181=0,"",IF($AB181-$AR181=0,"Nothing left over",IF($O181="Domestic",IF($AG181&lt;=Setup!$C$6+Setup!$C$20+1,"Later units can go by Domestic","Too slow: send it all fast"),IF($AS181+$N181+Setup!$C$25+Setup!$C$11&lt;=Setup!$C$6+Setup!$C$20+1,"Later units can go by Ocean long",IF($AS181+$N181+Setup!$C$26+Setup!$C$11&lt;=Setup!$C$6+Setup!$C$20+1,"Later units can go by Ocean short",IF($AS181+$N181+Setup!$C$27+Setup!$C$11&lt;=Setup!$C$6+Setup!$C$20+1,"Later units can go by Air",IF($AS181+$N181+Setup!$C$28+Setup!$C$11&lt;=Setup!$C$6+Setup!$C$20+1,"Later units can go by Express","Too slow: send it all fast"))))))))</f>
        <v/>
      </c>
      <c r="AM181" s="94" t="str">
        <f>IF($R181&lt;&gt;"OK","",$E181-$D181)</f>
        <v/>
      </c>
      <c r="AN181" s="95" t="str">
        <f>IF($R181&lt;&gt;"OK","",($E181-$D181)/$D181)</f>
        <v/>
      </c>
      <c r="AO181" s="95" t="str">
        <f>IF($R181&lt;&gt;"OK","",IF($AB181&gt;0,$AN181+IF($C181="Evergreen",1000,0),""))</f>
        <v/>
      </c>
      <c r="AP181" s="78" t="str">
        <f>IF(OR($R181&lt;&gt;"OK",$AO181=""),"",COUNTIF($AO$6:$AO$205,"&gt;"&amp;$AO181)+COUNTIF($AO$6:$AO181,$AO181))</f>
        <v/>
      </c>
      <c r="AQ181" s="78" t="str">
        <f>IF(OR($R181&lt;&gt;"OK",$AP181=""),"",INDEX('Buy list'!$G$5:$G$204,$AP181))</f>
        <v/>
      </c>
      <c r="AR181" s="78" t="str">
        <f>IF($R181&lt;&gt;"OK","",IF($AB181=0,0,MIN($AB181,CEILING(MAX(0,($F181*MAX(0,MIN((Setup!$C$6+1+Setup!$C$20),(Setup!$C$5-Setup!$C$7))-Setup!$C$4)+$F181*Setup!$C$8*MAX(0,MIN((Setup!$C$6+1+Setup!$C$20),Setup!$C$5)-MAX((Setup!$C$5-Setup!$C$7),Setup!$C$4))+$W181/4*MAX(0,MIN((Setup!$C$6+1+Setup!$C$20),Setup!$C$5+4)-MAX(Setup!$C$5,Setup!$C$4))+$F181*Setup!$C$14*MAX(0,(Setup!$C$6+1+Setup!$C$20)-MAX(Setup!$C$5+4,Setup!$C$4)))+$Y181-$K181-IF(AND($L181&lt;&gt;"",$L181&gt;0),IF($M181&lt;=Setup!$C$10,$L181,0),0)),IF(OR($P181="",$P181&lt;=0),1,$P181)))))</f>
        <v/>
      </c>
      <c r="AS181" s="96" t="str">
        <f>IF($R181&lt;&gt;"OK","",IF(AND($O181&lt;&gt;"Domestic",ISNUMBER(Setup!$C$22),Setup!$C$22&gt;Setup!$C$4),Setup!$C$22,Setup!$C$4))</f>
        <v/>
      </c>
      <c r="AT181" s="96" t="str">
        <f>IF($R181&lt;&gt;"OK","",IF($AB181=0,"",IF($O181="Domestic",$AG181,$AS181+$N181+Setup!$C$27+Setup!$C$11)))</f>
        <v/>
      </c>
    </row>
    <row r="182" ht="15" customHeight="1" s="46">
      <c r="A182" s="70" t="n"/>
      <c r="B182" s="70" t="n"/>
      <c r="C182" s="70" t="n"/>
      <c r="D182" s="85" t="n"/>
      <c r="E182" s="85" t="n"/>
      <c r="F182" s="86" t="n"/>
      <c r="G182" s="87" t="n"/>
      <c r="H182" s="88" t="n"/>
      <c r="I182" s="89" t="n"/>
      <c r="J182" s="90" t="n"/>
      <c r="K182" s="87" t="n"/>
      <c r="L182" s="87" t="n"/>
      <c r="M182" s="91" t="n"/>
      <c r="N182" s="92" t="n"/>
      <c r="O182" s="70" t="n"/>
      <c r="P182" s="92" t="n"/>
      <c r="Q182" s="87" t="n"/>
      <c r="R182" s="79" t="str">
        <f>IF($A182="","",IF($C182="","Missing: type",IF(OR($D182="",$D182&lt;=0),"Missing: unit cost",IF($E182="","Missing: unit price",IF($F182="","Missing: daily sales",IF($K182="","Missing: on hand",IF($N182="","Missing: production days",IF($O182="","Missing: freight mode",IF(ISNA(MATCH($O182,Setup!$B$25:$B$29,0)),"Unknown freight mode",IF(AND($L182&lt;&gt;"",$L182&gt;0,$M182=""),"Missing: on-order arrival date","OK"))))))))))</f>
        <v/>
      </c>
      <c r="S182" s="78" t="str">
        <f>IF($R182&lt;&gt;"OK","",IF($G182="","",ROUND($G182/IF(OR($H182="",$H182&lt;=0),4,$H182)*4,0)))</f>
        <v/>
      </c>
      <c r="T182" s="78" t="str">
        <f>IF($R182&lt;&gt;"OK","",ROUND(IF($G182="",$F182*4*Setup!$C$19,$G182/IF(OR($H182="",$H182&lt;=0),4,$H182)*4*(1+IF($I182="",Setup!$C$16,$I182)))*IF($J182="",1,$J182),0))</f>
        <v/>
      </c>
      <c r="U182" s="78" t="str">
        <f>IF($R182&lt;&gt;"OK","",ROUND($T182*Setup!$C$17,0))</f>
        <v/>
      </c>
      <c r="V182" s="78" t="str">
        <f>IF($R182&lt;&gt;"OK","",ROUND($T182*Setup!$C$18,0))</f>
        <v/>
      </c>
      <c r="W182" s="78" t="str">
        <f>IF($R182&lt;&gt;"OK","",IF($C182="Evergreen",$V182,IF($C182="Seasonal or new",$U182,$T182)))</f>
        <v/>
      </c>
      <c r="X182" s="78" t="str">
        <f>IF($R182&lt;&gt;"OK","",ROUND(($F182*MAX(0,MIN(Setup!$C$13+1,(Setup!$C$5-Setup!$C$7))-Setup!$C$4)+$F182*Setup!$C$8*MAX(0,MIN(Setup!$C$13+1,Setup!$C$5)-MAX((Setup!$C$5-Setup!$C$7),Setup!$C$4))+$W182/4*MAX(0,MIN(Setup!$C$13+1,Setup!$C$5+4)-MAX(Setup!$C$5,Setup!$C$4))+$F182*Setup!$C$14*MAX(0,Setup!$C$13+1-MAX(Setup!$C$5+4,Setup!$C$4))),0))</f>
        <v/>
      </c>
      <c r="Y182" s="78" t="str">
        <f>IF($R182&lt;&gt;"OK","",ROUND($F182*Setup!$C$15,0))</f>
        <v/>
      </c>
      <c r="Z182" s="78" t="str">
        <f>IF($R182&lt;&gt;"OK","",IF(AND($L182&lt;&gt;"",$L182&gt;0),IF($M182&lt;=Setup!$C$13,$L182,0),0))</f>
        <v/>
      </c>
      <c r="AA182" s="78" t="str">
        <f>IF($R182&lt;&gt;"OK","",MAX(0,$X182+$Y182-$K182-$Z182))</f>
        <v/>
      </c>
      <c r="AB182" s="78" t="str">
        <f>IF($R182&lt;&gt;"OK","",IF($AA182=0,0,CEILING(MAX($AA182,IF($Q182="",0,$Q182)),IF(OR($P182="",$P182&lt;=0),1,$P182))))</f>
        <v/>
      </c>
      <c r="AC182" s="78" t="str">
        <f>IF($R182&lt;&gt;"OK","",$AB182*$D182)</f>
        <v/>
      </c>
      <c r="AD182" s="93" t="str">
        <f>IF($R182&lt;&gt;"OK","",INDEX(Setup!$D$25:$D$29,MATCH($O182,Setup!$B$25:$B$29,0)))</f>
        <v/>
      </c>
      <c r="AE182" s="93" t="str">
        <f>IF($R182&lt;&gt;"OK","",$AD182-$N182)</f>
        <v/>
      </c>
      <c r="AF182" s="79" t="str">
        <f>IF($R182&lt;&gt;"OK","",IF($AB182=0,"No order needed",IF($AE182&gt;=$AS182,"Order by the deadline",IF(AND($O182&lt;&gt;"Domestic",Setup!$D$27-$N182&gt;=$AS182),"Late by this mode: fly it",IF(Setup!$D$28-$N182&gt;=$AS182,"Late: Express courier only",IF($AG182&lt;Setup!$C$5,"Tight: lands before Black Friday",IF(AND($O182&lt;&gt;"Domestic",$AT182&lt;Setup!$C$5),"Tight: by Air lands before Black Friday",IF($AS182+$N182+Setup!$C$28+Setup!$C$11&lt;Setup!$C$5,"Tight: by Express lands before Black Friday","Too late: ration"))))))))</f>
        <v/>
      </c>
      <c r="AG182" s="93" t="str">
        <f>IF($R182&lt;&gt;"OK","",IF($AB182=0,"",$AS182+$N182+INDEX(Setup!$C$25:$C$29,MATCH($O182,Setup!$B$25:$B$29,0))+Setup!$C$11))</f>
        <v/>
      </c>
      <c r="AH182" s="93" t="str">
        <f>IF($R182&lt;&gt;"OK","",IF($F182&lt;=0,"",INT(IF($K182&lt;($F182*MAX(0,(Setup!$C$5-Setup!$C$7)-Setup!$C$4)),Setup!$C$4+$K182/$F182,IF($K182&lt;($F182*MAX(0,(Setup!$C$5-Setup!$C$7)-Setup!$C$4))+($F182*Setup!$C$8*MAX(0,Setup!$C$5-MAX((Setup!$C$5-Setup!$C$7),Setup!$C$4))),MAX((Setup!$C$5-Setup!$C$7),Setup!$C$4)+($K182-($F182*MAX(0,(Setup!$C$5-Setup!$C$7)-Setup!$C$4)))/($F182*Setup!$C$8),IF(AND($W182&gt;0,$K182&lt;($F182*MAX(0,(Setup!$C$5-Setup!$C$7)-Setup!$C$4))+($F182*Setup!$C$8*MAX(0,Setup!$C$5-MAX((Setup!$C$5-Setup!$C$7),Setup!$C$4)))+($W182/4*MAX(0,Setup!$C$5+4-MAX(Setup!$C$5,Setup!$C$4)))),MAX(Setup!$C$5,Setup!$C$4)+($K182-($F182*MAX(0,(Setup!$C$5-Setup!$C$7)-Setup!$C$4))-($F182*Setup!$C$8*MAX(0,Setup!$C$5-MAX((Setup!$C$5-Setup!$C$7),Setup!$C$4))))/($W182/4),MAX(Setup!$C$5+4,Setup!$C$4)+($K182-($F182*MAX(0,(Setup!$C$5-Setup!$C$7)-Setup!$C$4))-($F182*Setup!$C$8*MAX(0,Setup!$C$5-MAX((Setup!$C$5-Setup!$C$7),Setup!$C$4)))-($W182/4*MAX(0,Setup!$C$5+4-MAX(Setup!$C$5,Setup!$C$4))))/($F182*Setup!$C$14)))))))</f>
        <v/>
      </c>
      <c r="AI182" s="79" t="str">
        <f>IF($R182&lt;&gt;"OK","",IF(AND($L182&lt;&gt;"",$L182&gt;0,ISNUMBER($AH182),$M182&gt;$AH182),"Runs out before the incoming delivery arrives",IF($AB182=0,"OK",IF($K182+IF(AND($L182&lt;&gt;"",$L182&gt;0),IF($M182&lt;=$AG182,$L182,0),0)&lt;($F182*MAX(0,MIN($AG182,(Setup!$C$5-Setup!$C$7))-Setup!$C$4)+$F182*Setup!$C$8*MAX(0,MIN($AG182,Setup!$C$5)-MAX((Setup!$C$5-Setup!$C$7),Setup!$C$4))+$W182/4*MAX(0,MIN($AG182,Setup!$C$5+4)-MAX(Setup!$C$5,Setup!$C$4))+$F182*Setup!$C$14*MAX(0,$AG182-MAX(Setup!$C$5+4,Setup!$C$4))),"Runs out before this order can land","OK"))))</f>
        <v/>
      </c>
      <c r="AJ182" s="78" t="str">
        <f>IF($R182&lt;&gt;"OK","",IF($AB182=0,0,IF($AL182="Too slow: send it all fast",$AB182,$AR182)))</f>
        <v/>
      </c>
      <c r="AK182" s="78" t="str">
        <f>IF($R182&lt;&gt;"OK","",$AB182-$AJ182)</f>
        <v/>
      </c>
      <c r="AL182" s="78" t="str">
        <f>IF($R182&lt;&gt;"OK","",IF($AB182=0,"",IF($AB182-$AR182=0,"Nothing left over",IF($O182="Domestic",IF($AG182&lt;=Setup!$C$6+Setup!$C$20+1,"Later units can go by Domestic","Too slow: send it all fast"),IF($AS182+$N182+Setup!$C$25+Setup!$C$11&lt;=Setup!$C$6+Setup!$C$20+1,"Later units can go by Ocean long",IF($AS182+$N182+Setup!$C$26+Setup!$C$11&lt;=Setup!$C$6+Setup!$C$20+1,"Later units can go by Ocean short",IF($AS182+$N182+Setup!$C$27+Setup!$C$11&lt;=Setup!$C$6+Setup!$C$20+1,"Later units can go by Air",IF($AS182+$N182+Setup!$C$28+Setup!$C$11&lt;=Setup!$C$6+Setup!$C$20+1,"Later units can go by Express","Too slow: send it all fast"))))))))</f>
        <v/>
      </c>
      <c r="AM182" s="94" t="str">
        <f>IF($R182&lt;&gt;"OK","",$E182-$D182)</f>
        <v/>
      </c>
      <c r="AN182" s="95" t="str">
        <f>IF($R182&lt;&gt;"OK","",($E182-$D182)/$D182)</f>
        <v/>
      </c>
      <c r="AO182" s="95" t="str">
        <f>IF($R182&lt;&gt;"OK","",IF($AB182&gt;0,$AN182+IF($C182="Evergreen",1000,0),""))</f>
        <v/>
      </c>
      <c r="AP182" s="78" t="str">
        <f>IF(OR($R182&lt;&gt;"OK",$AO182=""),"",COUNTIF($AO$6:$AO$205,"&gt;"&amp;$AO182)+COUNTIF($AO$6:$AO182,$AO182))</f>
        <v/>
      </c>
      <c r="AQ182" s="78" t="str">
        <f>IF(OR($R182&lt;&gt;"OK",$AP182=""),"",INDEX('Buy list'!$G$5:$G$204,$AP182))</f>
        <v/>
      </c>
      <c r="AR182" s="78" t="str">
        <f>IF($R182&lt;&gt;"OK","",IF($AB182=0,0,MIN($AB182,CEILING(MAX(0,($F182*MAX(0,MIN((Setup!$C$6+1+Setup!$C$20),(Setup!$C$5-Setup!$C$7))-Setup!$C$4)+$F182*Setup!$C$8*MAX(0,MIN((Setup!$C$6+1+Setup!$C$20),Setup!$C$5)-MAX((Setup!$C$5-Setup!$C$7),Setup!$C$4))+$W182/4*MAX(0,MIN((Setup!$C$6+1+Setup!$C$20),Setup!$C$5+4)-MAX(Setup!$C$5,Setup!$C$4))+$F182*Setup!$C$14*MAX(0,(Setup!$C$6+1+Setup!$C$20)-MAX(Setup!$C$5+4,Setup!$C$4)))+$Y182-$K182-IF(AND($L182&lt;&gt;"",$L182&gt;0),IF($M182&lt;=Setup!$C$10,$L182,0),0)),IF(OR($P182="",$P182&lt;=0),1,$P182)))))</f>
        <v/>
      </c>
      <c r="AS182" s="96" t="str">
        <f>IF($R182&lt;&gt;"OK","",IF(AND($O182&lt;&gt;"Domestic",ISNUMBER(Setup!$C$22),Setup!$C$22&gt;Setup!$C$4),Setup!$C$22,Setup!$C$4))</f>
        <v/>
      </c>
      <c r="AT182" s="96" t="str">
        <f>IF($R182&lt;&gt;"OK","",IF($AB182=0,"",IF($O182="Domestic",$AG182,$AS182+$N182+Setup!$C$27+Setup!$C$11)))</f>
        <v/>
      </c>
    </row>
    <row r="183" ht="15" customHeight="1" s="46">
      <c r="A183" s="70" t="n"/>
      <c r="B183" s="70" t="n"/>
      <c r="C183" s="70" t="n"/>
      <c r="D183" s="85" t="n"/>
      <c r="E183" s="85" t="n"/>
      <c r="F183" s="86" t="n"/>
      <c r="G183" s="87" t="n"/>
      <c r="H183" s="88" t="n"/>
      <c r="I183" s="89" t="n"/>
      <c r="J183" s="90" t="n"/>
      <c r="K183" s="87" t="n"/>
      <c r="L183" s="87" t="n"/>
      <c r="M183" s="91" t="n"/>
      <c r="N183" s="92" t="n"/>
      <c r="O183" s="70" t="n"/>
      <c r="P183" s="92" t="n"/>
      <c r="Q183" s="87" t="n"/>
      <c r="R183" s="79" t="str">
        <f>IF($A183="","",IF($C183="","Missing: type",IF(OR($D183="",$D183&lt;=0),"Missing: unit cost",IF($E183="","Missing: unit price",IF($F183="","Missing: daily sales",IF($K183="","Missing: on hand",IF($N183="","Missing: production days",IF($O183="","Missing: freight mode",IF(ISNA(MATCH($O183,Setup!$B$25:$B$29,0)),"Unknown freight mode",IF(AND($L183&lt;&gt;"",$L183&gt;0,$M183=""),"Missing: on-order arrival date","OK"))))))))))</f>
        <v/>
      </c>
      <c r="S183" s="78" t="str">
        <f>IF($R183&lt;&gt;"OK","",IF($G183="","",ROUND($G183/IF(OR($H183="",$H183&lt;=0),4,$H183)*4,0)))</f>
        <v/>
      </c>
      <c r="T183" s="78" t="str">
        <f>IF($R183&lt;&gt;"OK","",ROUND(IF($G183="",$F183*4*Setup!$C$19,$G183/IF(OR($H183="",$H183&lt;=0),4,$H183)*4*(1+IF($I183="",Setup!$C$16,$I183)))*IF($J183="",1,$J183),0))</f>
        <v/>
      </c>
      <c r="U183" s="78" t="str">
        <f>IF($R183&lt;&gt;"OK","",ROUND($T183*Setup!$C$17,0))</f>
        <v/>
      </c>
      <c r="V183" s="78" t="str">
        <f>IF($R183&lt;&gt;"OK","",ROUND($T183*Setup!$C$18,0))</f>
        <v/>
      </c>
      <c r="W183" s="78" t="str">
        <f>IF($R183&lt;&gt;"OK","",IF($C183="Evergreen",$V183,IF($C183="Seasonal or new",$U183,$T183)))</f>
        <v/>
      </c>
      <c r="X183" s="78" t="str">
        <f>IF($R183&lt;&gt;"OK","",ROUND(($F183*MAX(0,MIN(Setup!$C$13+1,(Setup!$C$5-Setup!$C$7))-Setup!$C$4)+$F183*Setup!$C$8*MAX(0,MIN(Setup!$C$13+1,Setup!$C$5)-MAX((Setup!$C$5-Setup!$C$7),Setup!$C$4))+$W183/4*MAX(0,MIN(Setup!$C$13+1,Setup!$C$5+4)-MAX(Setup!$C$5,Setup!$C$4))+$F183*Setup!$C$14*MAX(0,Setup!$C$13+1-MAX(Setup!$C$5+4,Setup!$C$4))),0))</f>
        <v/>
      </c>
      <c r="Y183" s="78" t="str">
        <f>IF($R183&lt;&gt;"OK","",ROUND($F183*Setup!$C$15,0))</f>
        <v/>
      </c>
      <c r="Z183" s="78" t="str">
        <f>IF($R183&lt;&gt;"OK","",IF(AND($L183&lt;&gt;"",$L183&gt;0),IF($M183&lt;=Setup!$C$13,$L183,0),0))</f>
        <v/>
      </c>
      <c r="AA183" s="78" t="str">
        <f>IF($R183&lt;&gt;"OK","",MAX(0,$X183+$Y183-$K183-$Z183))</f>
        <v/>
      </c>
      <c r="AB183" s="78" t="str">
        <f>IF($R183&lt;&gt;"OK","",IF($AA183=0,0,CEILING(MAX($AA183,IF($Q183="",0,$Q183)),IF(OR($P183="",$P183&lt;=0),1,$P183))))</f>
        <v/>
      </c>
      <c r="AC183" s="78" t="str">
        <f>IF($R183&lt;&gt;"OK","",$AB183*$D183)</f>
        <v/>
      </c>
      <c r="AD183" s="93" t="str">
        <f>IF($R183&lt;&gt;"OK","",INDEX(Setup!$D$25:$D$29,MATCH($O183,Setup!$B$25:$B$29,0)))</f>
        <v/>
      </c>
      <c r="AE183" s="93" t="str">
        <f>IF($R183&lt;&gt;"OK","",$AD183-$N183)</f>
        <v/>
      </c>
      <c r="AF183" s="79" t="str">
        <f>IF($R183&lt;&gt;"OK","",IF($AB183=0,"No order needed",IF($AE183&gt;=$AS183,"Order by the deadline",IF(AND($O183&lt;&gt;"Domestic",Setup!$D$27-$N183&gt;=$AS183),"Late by this mode: fly it",IF(Setup!$D$28-$N183&gt;=$AS183,"Late: Express courier only",IF($AG183&lt;Setup!$C$5,"Tight: lands before Black Friday",IF(AND($O183&lt;&gt;"Domestic",$AT183&lt;Setup!$C$5),"Tight: by Air lands before Black Friday",IF($AS183+$N183+Setup!$C$28+Setup!$C$11&lt;Setup!$C$5,"Tight: by Express lands before Black Friday","Too late: ration"))))))))</f>
        <v/>
      </c>
      <c r="AG183" s="93" t="str">
        <f>IF($R183&lt;&gt;"OK","",IF($AB183=0,"",$AS183+$N183+INDEX(Setup!$C$25:$C$29,MATCH($O183,Setup!$B$25:$B$29,0))+Setup!$C$11))</f>
        <v/>
      </c>
      <c r="AH183" s="93" t="str">
        <f>IF($R183&lt;&gt;"OK","",IF($F183&lt;=0,"",INT(IF($K183&lt;($F183*MAX(0,(Setup!$C$5-Setup!$C$7)-Setup!$C$4)),Setup!$C$4+$K183/$F183,IF($K183&lt;($F183*MAX(0,(Setup!$C$5-Setup!$C$7)-Setup!$C$4))+($F183*Setup!$C$8*MAX(0,Setup!$C$5-MAX((Setup!$C$5-Setup!$C$7),Setup!$C$4))),MAX((Setup!$C$5-Setup!$C$7),Setup!$C$4)+($K183-($F183*MAX(0,(Setup!$C$5-Setup!$C$7)-Setup!$C$4)))/($F183*Setup!$C$8),IF(AND($W183&gt;0,$K183&lt;($F183*MAX(0,(Setup!$C$5-Setup!$C$7)-Setup!$C$4))+($F183*Setup!$C$8*MAX(0,Setup!$C$5-MAX((Setup!$C$5-Setup!$C$7),Setup!$C$4)))+($W183/4*MAX(0,Setup!$C$5+4-MAX(Setup!$C$5,Setup!$C$4)))),MAX(Setup!$C$5,Setup!$C$4)+($K183-($F183*MAX(0,(Setup!$C$5-Setup!$C$7)-Setup!$C$4))-($F183*Setup!$C$8*MAX(0,Setup!$C$5-MAX((Setup!$C$5-Setup!$C$7),Setup!$C$4))))/($W183/4),MAX(Setup!$C$5+4,Setup!$C$4)+($K183-($F183*MAX(0,(Setup!$C$5-Setup!$C$7)-Setup!$C$4))-($F183*Setup!$C$8*MAX(0,Setup!$C$5-MAX((Setup!$C$5-Setup!$C$7),Setup!$C$4)))-($W183/4*MAX(0,Setup!$C$5+4-MAX(Setup!$C$5,Setup!$C$4))))/($F183*Setup!$C$14)))))))</f>
        <v/>
      </c>
      <c r="AI183" s="79" t="str">
        <f>IF($R183&lt;&gt;"OK","",IF(AND($L183&lt;&gt;"",$L183&gt;0,ISNUMBER($AH183),$M183&gt;$AH183),"Runs out before the incoming delivery arrives",IF($AB183=0,"OK",IF($K183+IF(AND($L183&lt;&gt;"",$L183&gt;0),IF($M183&lt;=$AG183,$L183,0),0)&lt;($F183*MAX(0,MIN($AG183,(Setup!$C$5-Setup!$C$7))-Setup!$C$4)+$F183*Setup!$C$8*MAX(0,MIN($AG183,Setup!$C$5)-MAX((Setup!$C$5-Setup!$C$7),Setup!$C$4))+$W183/4*MAX(0,MIN($AG183,Setup!$C$5+4)-MAX(Setup!$C$5,Setup!$C$4))+$F183*Setup!$C$14*MAX(0,$AG183-MAX(Setup!$C$5+4,Setup!$C$4))),"Runs out before this order can land","OK"))))</f>
        <v/>
      </c>
      <c r="AJ183" s="78" t="str">
        <f>IF($R183&lt;&gt;"OK","",IF($AB183=0,0,IF($AL183="Too slow: send it all fast",$AB183,$AR183)))</f>
        <v/>
      </c>
      <c r="AK183" s="78" t="str">
        <f>IF($R183&lt;&gt;"OK","",$AB183-$AJ183)</f>
        <v/>
      </c>
      <c r="AL183" s="78" t="str">
        <f>IF($R183&lt;&gt;"OK","",IF($AB183=0,"",IF($AB183-$AR183=0,"Nothing left over",IF($O183="Domestic",IF($AG183&lt;=Setup!$C$6+Setup!$C$20+1,"Later units can go by Domestic","Too slow: send it all fast"),IF($AS183+$N183+Setup!$C$25+Setup!$C$11&lt;=Setup!$C$6+Setup!$C$20+1,"Later units can go by Ocean long",IF($AS183+$N183+Setup!$C$26+Setup!$C$11&lt;=Setup!$C$6+Setup!$C$20+1,"Later units can go by Ocean short",IF($AS183+$N183+Setup!$C$27+Setup!$C$11&lt;=Setup!$C$6+Setup!$C$20+1,"Later units can go by Air",IF($AS183+$N183+Setup!$C$28+Setup!$C$11&lt;=Setup!$C$6+Setup!$C$20+1,"Later units can go by Express","Too slow: send it all fast"))))))))</f>
        <v/>
      </c>
      <c r="AM183" s="94" t="str">
        <f>IF($R183&lt;&gt;"OK","",$E183-$D183)</f>
        <v/>
      </c>
      <c r="AN183" s="95" t="str">
        <f>IF($R183&lt;&gt;"OK","",($E183-$D183)/$D183)</f>
        <v/>
      </c>
      <c r="AO183" s="95" t="str">
        <f>IF($R183&lt;&gt;"OK","",IF($AB183&gt;0,$AN183+IF($C183="Evergreen",1000,0),""))</f>
        <v/>
      </c>
      <c r="AP183" s="78" t="str">
        <f>IF(OR($R183&lt;&gt;"OK",$AO183=""),"",COUNTIF($AO$6:$AO$205,"&gt;"&amp;$AO183)+COUNTIF($AO$6:$AO183,$AO183))</f>
        <v/>
      </c>
      <c r="AQ183" s="78" t="str">
        <f>IF(OR($R183&lt;&gt;"OK",$AP183=""),"",INDEX('Buy list'!$G$5:$G$204,$AP183))</f>
        <v/>
      </c>
      <c r="AR183" s="78" t="str">
        <f>IF($R183&lt;&gt;"OK","",IF($AB183=0,0,MIN($AB183,CEILING(MAX(0,($F183*MAX(0,MIN((Setup!$C$6+1+Setup!$C$20),(Setup!$C$5-Setup!$C$7))-Setup!$C$4)+$F183*Setup!$C$8*MAX(0,MIN((Setup!$C$6+1+Setup!$C$20),Setup!$C$5)-MAX((Setup!$C$5-Setup!$C$7),Setup!$C$4))+$W183/4*MAX(0,MIN((Setup!$C$6+1+Setup!$C$20),Setup!$C$5+4)-MAX(Setup!$C$5,Setup!$C$4))+$F183*Setup!$C$14*MAX(0,(Setup!$C$6+1+Setup!$C$20)-MAX(Setup!$C$5+4,Setup!$C$4)))+$Y183-$K183-IF(AND($L183&lt;&gt;"",$L183&gt;0),IF($M183&lt;=Setup!$C$10,$L183,0),0)),IF(OR($P183="",$P183&lt;=0),1,$P183)))))</f>
        <v/>
      </c>
      <c r="AS183" s="96" t="str">
        <f>IF($R183&lt;&gt;"OK","",IF(AND($O183&lt;&gt;"Domestic",ISNUMBER(Setup!$C$22),Setup!$C$22&gt;Setup!$C$4),Setup!$C$22,Setup!$C$4))</f>
        <v/>
      </c>
      <c r="AT183" s="96" t="str">
        <f>IF($R183&lt;&gt;"OK","",IF($AB183=0,"",IF($O183="Domestic",$AG183,$AS183+$N183+Setup!$C$27+Setup!$C$11)))</f>
        <v/>
      </c>
    </row>
    <row r="184" ht="15" customHeight="1" s="46">
      <c r="A184" s="70" t="n"/>
      <c r="B184" s="70" t="n"/>
      <c r="C184" s="70" t="n"/>
      <c r="D184" s="85" t="n"/>
      <c r="E184" s="85" t="n"/>
      <c r="F184" s="86" t="n"/>
      <c r="G184" s="87" t="n"/>
      <c r="H184" s="88" t="n"/>
      <c r="I184" s="89" t="n"/>
      <c r="J184" s="90" t="n"/>
      <c r="K184" s="87" t="n"/>
      <c r="L184" s="87" t="n"/>
      <c r="M184" s="91" t="n"/>
      <c r="N184" s="92" t="n"/>
      <c r="O184" s="70" t="n"/>
      <c r="P184" s="92" t="n"/>
      <c r="Q184" s="87" t="n"/>
      <c r="R184" s="79" t="str">
        <f>IF($A184="","",IF($C184="","Missing: type",IF(OR($D184="",$D184&lt;=0),"Missing: unit cost",IF($E184="","Missing: unit price",IF($F184="","Missing: daily sales",IF($K184="","Missing: on hand",IF($N184="","Missing: production days",IF($O184="","Missing: freight mode",IF(ISNA(MATCH($O184,Setup!$B$25:$B$29,0)),"Unknown freight mode",IF(AND($L184&lt;&gt;"",$L184&gt;0,$M184=""),"Missing: on-order arrival date","OK"))))))))))</f>
        <v/>
      </c>
      <c r="S184" s="78" t="str">
        <f>IF($R184&lt;&gt;"OK","",IF($G184="","",ROUND($G184/IF(OR($H184="",$H184&lt;=0),4,$H184)*4,0)))</f>
        <v/>
      </c>
      <c r="T184" s="78" t="str">
        <f>IF($R184&lt;&gt;"OK","",ROUND(IF($G184="",$F184*4*Setup!$C$19,$G184/IF(OR($H184="",$H184&lt;=0),4,$H184)*4*(1+IF($I184="",Setup!$C$16,$I184)))*IF($J184="",1,$J184),0))</f>
        <v/>
      </c>
      <c r="U184" s="78" t="str">
        <f>IF($R184&lt;&gt;"OK","",ROUND($T184*Setup!$C$17,0))</f>
        <v/>
      </c>
      <c r="V184" s="78" t="str">
        <f>IF($R184&lt;&gt;"OK","",ROUND($T184*Setup!$C$18,0))</f>
        <v/>
      </c>
      <c r="W184" s="78" t="str">
        <f>IF($R184&lt;&gt;"OK","",IF($C184="Evergreen",$V184,IF($C184="Seasonal or new",$U184,$T184)))</f>
        <v/>
      </c>
      <c r="X184" s="78" t="str">
        <f>IF($R184&lt;&gt;"OK","",ROUND(($F184*MAX(0,MIN(Setup!$C$13+1,(Setup!$C$5-Setup!$C$7))-Setup!$C$4)+$F184*Setup!$C$8*MAX(0,MIN(Setup!$C$13+1,Setup!$C$5)-MAX((Setup!$C$5-Setup!$C$7),Setup!$C$4))+$W184/4*MAX(0,MIN(Setup!$C$13+1,Setup!$C$5+4)-MAX(Setup!$C$5,Setup!$C$4))+$F184*Setup!$C$14*MAX(0,Setup!$C$13+1-MAX(Setup!$C$5+4,Setup!$C$4))),0))</f>
        <v/>
      </c>
      <c r="Y184" s="78" t="str">
        <f>IF($R184&lt;&gt;"OK","",ROUND($F184*Setup!$C$15,0))</f>
        <v/>
      </c>
      <c r="Z184" s="78" t="str">
        <f>IF($R184&lt;&gt;"OK","",IF(AND($L184&lt;&gt;"",$L184&gt;0),IF($M184&lt;=Setup!$C$13,$L184,0),0))</f>
        <v/>
      </c>
      <c r="AA184" s="78" t="str">
        <f>IF($R184&lt;&gt;"OK","",MAX(0,$X184+$Y184-$K184-$Z184))</f>
        <v/>
      </c>
      <c r="AB184" s="78" t="str">
        <f>IF($R184&lt;&gt;"OK","",IF($AA184=0,0,CEILING(MAX($AA184,IF($Q184="",0,$Q184)),IF(OR($P184="",$P184&lt;=0),1,$P184))))</f>
        <v/>
      </c>
      <c r="AC184" s="78" t="str">
        <f>IF($R184&lt;&gt;"OK","",$AB184*$D184)</f>
        <v/>
      </c>
      <c r="AD184" s="93" t="str">
        <f>IF($R184&lt;&gt;"OK","",INDEX(Setup!$D$25:$D$29,MATCH($O184,Setup!$B$25:$B$29,0)))</f>
        <v/>
      </c>
      <c r="AE184" s="93" t="str">
        <f>IF($R184&lt;&gt;"OK","",$AD184-$N184)</f>
        <v/>
      </c>
      <c r="AF184" s="79" t="str">
        <f>IF($R184&lt;&gt;"OK","",IF($AB184=0,"No order needed",IF($AE184&gt;=$AS184,"Order by the deadline",IF(AND($O184&lt;&gt;"Domestic",Setup!$D$27-$N184&gt;=$AS184),"Late by this mode: fly it",IF(Setup!$D$28-$N184&gt;=$AS184,"Late: Express courier only",IF($AG184&lt;Setup!$C$5,"Tight: lands before Black Friday",IF(AND($O184&lt;&gt;"Domestic",$AT184&lt;Setup!$C$5),"Tight: by Air lands before Black Friday",IF($AS184+$N184+Setup!$C$28+Setup!$C$11&lt;Setup!$C$5,"Tight: by Express lands before Black Friday","Too late: ration"))))))))</f>
        <v/>
      </c>
      <c r="AG184" s="93" t="str">
        <f>IF($R184&lt;&gt;"OK","",IF($AB184=0,"",$AS184+$N184+INDEX(Setup!$C$25:$C$29,MATCH($O184,Setup!$B$25:$B$29,0))+Setup!$C$11))</f>
        <v/>
      </c>
      <c r="AH184" s="93" t="str">
        <f>IF($R184&lt;&gt;"OK","",IF($F184&lt;=0,"",INT(IF($K184&lt;($F184*MAX(0,(Setup!$C$5-Setup!$C$7)-Setup!$C$4)),Setup!$C$4+$K184/$F184,IF($K184&lt;($F184*MAX(0,(Setup!$C$5-Setup!$C$7)-Setup!$C$4))+($F184*Setup!$C$8*MAX(0,Setup!$C$5-MAX((Setup!$C$5-Setup!$C$7),Setup!$C$4))),MAX((Setup!$C$5-Setup!$C$7),Setup!$C$4)+($K184-($F184*MAX(0,(Setup!$C$5-Setup!$C$7)-Setup!$C$4)))/($F184*Setup!$C$8),IF(AND($W184&gt;0,$K184&lt;($F184*MAX(0,(Setup!$C$5-Setup!$C$7)-Setup!$C$4))+($F184*Setup!$C$8*MAX(0,Setup!$C$5-MAX((Setup!$C$5-Setup!$C$7),Setup!$C$4)))+($W184/4*MAX(0,Setup!$C$5+4-MAX(Setup!$C$5,Setup!$C$4)))),MAX(Setup!$C$5,Setup!$C$4)+($K184-($F184*MAX(0,(Setup!$C$5-Setup!$C$7)-Setup!$C$4))-($F184*Setup!$C$8*MAX(0,Setup!$C$5-MAX((Setup!$C$5-Setup!$C$7),Setup!$C$4))))/($W184/4),MAX(Setup!$C$5+4,Setup!$C$4)+($K184-($F184*MAX(0,(Setup!$C$5-Setup!$C$7)-Setup!$C$4))-($F184*Setup!$C$8*MAX(0,Setup!$C$5-MAX((Setup!$C$5-Setup!$C$7),Setup!$C$4)))-($W184/4*MAX(0,Setup!$C$5+4-MAX(Setup!$C$5,Setup!$C$4))))/($F184*Setup!$C$14)))))))</f>
        <v/>
      </c>
      <c r="AI184" s="79" t="str">
        <f>IF($R184&lt;&gt;"OK","",IF(AND($L184&lt;&gt;"",$L184&gt;0,ISNUMBER($AH184),$M184&gt;$AH184),"Runs out before the incoming delivery arrives",IF($AB184=0,"OK",IF($K184+IF(AND($L184&lt;&gt;"",$L184&gt;0),IF($M184&lt;=$AG184,$L184,0),0)&lt;($F184*MAX(0,MIN($AG184,(Setup!$C$5-Setup!$C$7))-Setup!$C$4)+$F184*Setup!$C$8*MAX(0,MIN($AG184,Setup!$C$5)-MAX((Setup!$C$5-Setup!$C$7),Setup!$C$4))+$W184/4*MAX(0,MIN($AG184,Setup!$C$5+4)-MAX(Setup!$C$5,Setup!$C$4))+$F184*Setup!$C$14*MAX(0,$AG184-MAX(Setup!$C$5+4,Setup!$C$4))),"Runs out before this order can land","OK"))))</f>
        <v/>
      </c>
      <c r="AJ184" s="78" t="str">
        <f>IF($R184&lt;&gt;"OK","",IF($AB184=0,0,IF($AL184="Too slow: send it all fast",$AB184,$AR184)))</f>
        <v/>
      </c>
      <c r="AK184" s="78" t="str">
        <f>IF($R184&lt;&gt;"OK","",$AB184-$AJ184)</f>
        <v/>
      </c>
      <c r="AL184" s="78" t="str">
        <f>IF($R184&lt;&gt;"OK","",IF($AB184=0,"",IF($AB184-$AR184=0,"Nothing left over",IF($O184="Domestic",IF($AG184&lt;=Setup!$C$6+Setup!$C$20+1,"Later units can go by Domestic","Too slow: send it all fast"),IF($AS184+$N184+Setup!$C$25+Setup!$C$11&lt;=Setup!$C$6+Setup!$C$20+1,"Later units can go by Ocean long",IF($AS184+$N184+Setup!$C$26+Setup!$C$11&lt;=Setup!$C$6+Setup!$C$20+1,"Later units can go by Ocean short",IF($AS184+$N184+Setup!$C$27+Setup!$C$11&lt;=Setup!$C$6+Setup!$C$20+1,"Later units can go by Air",IF($AS184+$N184+Setup!$C$28+Setup!$C$11&lt;=Setup!$C$6+Setup!$C$20+1,"Later units can go by Express","Too slow: send it all fast"))))))))</f>
        <v/>
      </c>
      <c r="AM184" s="94" t="str">
        <f>IF($R184&lt;&gt;"OK","",$E184-$D184)</f>
        <v/>
      </c>
      <c r="AN184" s="95" t="str">
        <f>IF($R184&lt;&gt;"OK","",($E184-$D184)/$D184)</f>
        <v/>
      </c>
      <c r="AO184" s="95" t="str">
        <f>IF($R184&lt;&gt;"OK","",IF($AB184&gt;0,$AN184+IF($C184="Evergreen",1000,0),""))</f>
        <v/>
      </c>
      <c r="AP184" s="78" t="str">
        <f>IF(OR($R184&lt;&gt;"OK",$AO184=""),"",COUNTIF($AO$6:$AO$205,"&gt;"&amp;$AO184)+COUNTIF($AO$6:$AO184,$AO184))</f>
        <v/>
      </c>
      <c r="AQ184" s="78" t="str">
        <f>IF(OR($R184&lt;&gt;"OK",$AP184=""),"",INDEX('Buy list'!$G$5:$G$204,$AP184))</f>
        <v/>
      </c>
      <c r="AR184" s="78" t="str">
        <f>IF($R184&lt;&gt;"OK","",IF($AB184=0,0,MIN($AB184,CEILING(MAX(0,($F184*MAX(0,MIN((Setup!$C$6+1+Setup!$C$20),(Setup!$C$5-Setup!$C$7))-Setup!$C$4)+$F184*Setup!$C$8*MAX(0,MIN((Setup!$C$6+1+Setup!$C$20),Setup!$C$5)-MAX((Setup!$C$5-Setup!$C$7),Setup!$C$4))+$W184/4*MAX(0,MIN((Setup!$C$6+1+Setup!$C$20),Setup!$C$5+4)-MAX(Setup!$C$5,Setup!$C$4))+$F184*Setup!$C$14*MAX(0,(Setup!$C$6+1+Setup!$C$20)-MAX(Setup!$C$5+4,Setup!$C$4)))+$Y184-$K184-IF(AND($L184&lt;&gt;"",$L184&gt;0),IF($M184&lt;=Setup!$C$10,$L184,0),0)),IF(OR($P184="",$P184&lt;=0),1,$P184)))))</f>
        <v/>
      </c>
      <c r="AS184" s="96" t="str">
        <f>IF($R184&lt;&gt;"OK","",IF(AND($O184&lt;&gt;"Domestic",ISNUMBER(Setup!$C$22),Setup!$C$22&gt;Setup!$C$4),Setup!$C$22,Setup!$C$4))</f>
        <v/>
      </c>
      <c r="AT184" s="96" t="str">
        <f>IF($R184&lt;&gt;"OK","",IF($AB184=0,"",IF($O184="Domestic",$AG184,$AS184+$N184+Setup!$C$27+Setup!$C$11)))</f>
        <v/>
      </c>
    </row>
    <row r="185" ht="15" customHeight="1" s="46">
      <c r="A185" s="70" t="n"/>
      <c r="B185" s="70" t="n"/>
      <c r="C185" s="70" t="n"/>
      <c r="D185" s="85" t="n"/>
      <c r="E185" s="85" t="n"/>
      <c r="F185" s="86" t="n"/>
      <c r="G185" s="87" t="n"/>
      <c r="H185" s="88" t="n"/>
      <c r="I185" s="89" t="n"/>
      <c r="J185" s="90" t="n"/>
      <c r="K185" s="87" t="n"/>
      <c r="L185" s="87" t="n"/>
      <c r="M185" s="91" t="n"/>
      <c r="N185" s="92" t="n"/>
      <c r="O185" s="70" t="n"/>
      <c r="P185" s="92" t="n"/>
      <c r="Q185" s="87" t="n"/>
      <c r="R185" s="79" t="str">
        <f>IF($A185="","",IF($C185="","Missing: type",IF(OR($D185="",$D185&lt;=0),"Missing: unit cost",IF($E185="","Missing: unit price",IF($F185="","Missing: daily sales",IF($K185="","Missing: on hand",IF($N185="","Missing: production days",IF($O185="","Missing: freight mode",IF(ISNA(MATCH($O185,Setup!$B$25:$B$29,0)),"Unknown freight mode",IF(AND($L185&lt;&gt;"",$L185&gt;0,$M185=""),"Missing: on-order arrival date","OK"))))))))))</f>
        <v/>
      </c>
      <c r="S185" s="78" t="str">
        <f>IF($R185&lt;&gt;"OK","",IF($G185="","",ROUND($G185/IF(OR($H185="",$H185&lt;=0),4,$H185)*4,0)))</f>
        <v/>
      </c>
      <c r="T185" s="78" t="str">
        <f>IF($R185&lt;&gt;"OK","",ROUND(IF($G185="",$F185*4*Setup!$C$19,$G185/IF(OR($H185="",$H185&lt;=0),4,$H185)*4*(1+IF($I185="",Setup!$C$16,$I185)))*IF($J185="",1,$J185),0))</f>
        <v/>
      </c>
      <c r="U185" s="78" t="str">
        <f>IF($R185&lt;&gt;"OK","",ROUND($T185*Setup!$C$17,0))</f>
        <v/>
      </c>
      <c r="V185" s="78" t="str">
        <f>IF($R185&lt;&gt;"OK","",ROUND($T185*Setup!$C$18,0))</f>
        <v/>
      </c>
      <c r="W185" s="78" t="str">
        <f>IF($R185&lt;&gt;"OK","",IF($C185="Evergreen",$V185,IF($C185="Seasonal or new",$U185,$T185)))</f>
        <v/>
      </c>
      <c r="X185" s="78" t="str">
        <f>IF($R185&lt;&gt;"OK","",ROUND(($F185*MAX(0,MIN(Setup!$C$13+1,(Setup!$C$5-Setup!$C$7))-Setup!$C$4)+$F185*Setup!$C$8*MAX(0,MIN(Setup!$C$13+1,Setup!$C$5)-MAX((Setup!$C$5-Setup!$C$7),Setup!$C$4))+$W185/4*MAX(0,MIN(Setup!$C$13+1,Setup!$C$5+4)-MAX(Setup!$C$5,Setup!$C$4))+$F185*Setup!$C$14*MAX(0,Setup!$C$13+1-MAX(Setup!$C$5+4,Setup!$C$4))),0))</f>
        <v/>
      </c>
      <c r="Y185" s="78" t="str">
        <f>IF($R185&lt;&gt;"OK","",ROUND($F185*Setup!$C$15,0))</f>
        <v/>
      </c>
      <c r="Z185" s="78" t="str">
        <f>IF($R185&lt;&gt;"OK","",IF(AND($L185&lt;&gt;"",$L185&gt;0),IF($M185&lt;=Setup!$C$13,$L185,0),0))</f>
        <v/>
      </c>
      <c r="AA185" s="78" t="str">
        <f>IF($R185&lt;&gt;"OK","",MAX(0,$X185+$Y185-$K185-$Z185))</f>
        <v/>
      </c>
      <c r="AB185" s="78" t="str">
        <f>IF($R185&lt;&gt;"OK","",IF($AA185=0,0,CEILING(MAX($AA185,IF($Q185="",0,$Q185)),IF(OR($P185="",$P185&lt;=0),1,$P185))))</f>
        <v/>
      </c>
      <c r="AC185" s="78" t="str">
        <f>IF($R185&lt;&gt;"OK","",$AB185*$D185)</f>
        <v/>
      </c>
      <c r="AD185" s="93" t="str">
        <f>IF($R185&lt;&gt;"OK","",INDEX(Setup!$D$25:$D$29,MATCH($O185,Setup!$B$25:$B$29,0)))</f>
        <v/>
      </c>
      <c r="AE185" s="93" t="str">
        <f>IF($R185&lt;&gt;"OK","",$AD185-$N185)</f>
        <v/>
      </c>
      <c r="AF185" s="79" t="str">
        <f>IF($R185&lt;&gt;"OK","",IF($AB185=0,"No order needed",IF($AE185&gt;=$AS185,"Order by the deadline",IF(AND($O185&lt;&gt;"Domestic",Setup!$D$27-$N185&gt;=$AS185),"Late by this mode: fly it",IF(Setup!$D$28-$N185&gt;=$AS185,"Late: Express courier only",IF($AG185&lt;Setup!$C$5,"Tight: lands before Black Friday",IF(AND($O185&lt;&gt;"Domestic",$AT185&lt;Setup!$C$5),"Tight: by Air lands before Black Friday",IF($AS185+$N185+Setup!$C$28+Setup!$C$11&lt;Setup!$C$5,"Tight: by Express lands before Black Friday","Too late: ration"))))))))</f>
        <v/>
      </c>
      <c r="AG185" s="93" t="str">
        <f>IF($R185&lt;&gt;"OK","",IF($AB185=0,"",$AS185+$N185+INDEX(Setup!$C$25:$C$29,MATCH($O185,Setup!$B$25:$B$29,0))+Setup!$C$11))</f>
        <v/>
      </c>
      <c r="AH185" s="93" t="str">
        <f>IF($R185&lt;&gt;"OK","",IF($F185&lt;=0,"",INT(IF($K185&lt;($F185*MAX(0,(Setup!$C$5-Setup!$C$7)-Setup!$C$4)),Setup!$C$4+$K185/$F185,IF($K185&lt;($F185*MAX(0,(Setup!$C$5-Setup!$C$7)-Setup!$C$4))+($F185*Setup!$C$8*MAX(0,Setup!$C$5-MAX((Setup!$C$5-Setup!$C$7),Setup!$C$4))),MAX((Setup!$C$5-Setup!$C$7),Setup!$C$4)+($K185-($F185*MAX(0,(Setup!$C$5-Setup!$C$7)-Setup!$C$4)))/($F185*Setup!$C$8),IF(AND($W185&gt;0,$K185&lt;($F185*MAX(0,(Setup!$C$5-Setup!$C$7)-Setup!$C$4))+($F185*Setup!$C$8*MAX(0,Setup!$C$5-MAX((Setup!$C$5-Setup!$C$7),Setup!$C$4)))+($W185/4*MAX(0,Setup!$C$5+4-MAX(Setup!$C$5,Setup!$C$4)))),MAX(Setup!$C$5,Setup!$C$4)+($K185-($F185*MAX(0,(Setup!$C$5-Setup!$C$7)-Setup!$C$4))-($F185*Setup!$C$8*MAX(0,Setup!$C$5-MAX((Setup!$C$5-Setup!$C$7),Setup!$C$4))))/($W185/4),MAX(Setup!$C$5+4,Setup!$C$4)+($K185-($F185*MAX(0,(Setup!$C$5-Setup!$C$7)-Setup!$C$4))-($F185*Setup!$C$8*MAX(0,Setup!$C$5-MAX((Setup!$C$5-Setup!$C$7),Setup!$C$4)))-($W185/4*MAX(0,Setup!$C$5+4-MAX(Setup!$C$5,Setup!$C$4))))/($F185*Setup!$C$14)))))))</f>
        <v/>
      </c>
      <c r="AI185" s="79" t="str">
        <f>IF($R185&lt;&gt;"OK","",IF(AND($L185&lt;&gt;"",$L185&gt;0,ISNUMBER($AH185),$M185&gt;$AH185),"Runs out before the incoming delivery arrives",IF($AB185=0,"OK",IF($K185+IF(AND($L185&lt;&gt;"",$L185&gt;0),IF($M185&lt;=$AG185,$L185,0),0)&lt;($F185*MAX(0,MIN($AG185,(Setup!$C$5-Setup!$C$7))-Setup!$C$4)+$F185*Setup!$C$8*MAX(0,MIN($AG185,Setup!$C$5)-MAX((Setup!$C$5-Setup!$C$7),Setup!$C$4))+$W185/4*MAX(0,MIN($AG185,Setup!$C$5+4)-MAX(Setup!$C$5,Setup!$C$4))+$F185*Setup!$C$14*MAX(0,$AG185-MAX(Setup!$C$5+4,Setup!$C$4))),"Runs out before this order can land","OK"))))</f>
        <v/>
      </c>
      <c r="AJ185" s="78" t="str">
        <f>IF($R185&lt;&gt;"OK","",IF($AB185=0,0,IF($AL185="Too slow: send it all fast",$AB185,$AR185)))</f>
        <v/>
      </c>
      <c r="AK185" s="78" t="str">
        <f>IF($R185&lt;&gt;"OK","",$AB185-$AJ185)</f>
        <v/>
      </c>
      <c r="AL185" s="78" t="str">
        <f>IF($R185&lt;&gt;"OK","",IF($AB185=0,"",IF($AB185-$AR185=0,"Nothing left over",IF($O185="Domestic",IF($AG185&lt;=Setup!$C$6+Setup!$C$20+1,"Later units can go by Domestic","Too slow: send it all fast"),IF($AS185+$N185+Setup!$C$25+Setup!$C$11&lt;=Setup!$C$6+Setup!$C$20+1,"Later units can go by Ocean long",IF($AS185+$N185+Setup!$C$26+Setup!$C$11&lt;=Setup!$C$6+Setup!$C$20+1,"Later units can go by Ocean short",IF($AS185+$N185+Setup!$C$27+Setup!$C$11&lt;=Setup!$C$6+Setup!$C$20+1,"Later units can go by Air",IF($AS185+$N185+Setup!$C$28+Setup!$C$11&lt;=Setup!$C$6+Setup!$C$20+1,"Later units can go by Express","Too slow: send it all fast"))))))))</f>
        <v/>
      </c>
      <c r="AM185" s="94" t="str">
        <f>IF($R185&lt;&gt;"OK","",$E185-$D185)</f>
        <v/>
      </c>
      <c r="AN185" s="95" t="str">
        <f>IF($R185&lt;&gt;"OK","",($E185-$D185)/$D185)</f>
        <v/>
      </c>
      <c r="AO185" s="95" t="str">
        <f>IF($R185&lt;&gt;"OK","",IF($AB185&gt;0,$AN185+IF($C185="Evergreen",1000,0),""))</f>
        <v/>
      </c>
      <c r="AP185" s="78" t="str">
        <f>IF(OR($R185&lt;&gt;"OK",$AO185=""),"",COUNTIF($AO$6:$AO$205,"&gt;"&amp;$AO185)+COUNTIF($AO$6:$AO185,$AO185))</f>
        <v/>
      </c>
      <c r="AQ185" s="78" t="str">
        <f>IF(OR($R185&lt;&gt;"OK",$AP185=""),"",INDEX('Buy list'!$G$5:$G$204,$AP185))</f>
        <v/>
      </c>
      <c r="AR185" s="78" t="str">
        <f>IF($R185&lt;&gt;"OK","",IF($AB185=0,0,MIN($AB185,CEILING(MAX(0,($F185*MAX(0,MIN((Setup!$C$6+1+Setup!$C$20),(Setup!$C$5-Setup!$C$7))-Setup!$C$4)+$F185*Setup!$C$8*MAX(0,MIN((Setup!$C$6+1+Setup!$C$20),Setup!$C$5)-MAX((Setup!$C$5-Setup!$C$7),Setup!$C$4))+$W185/4*MAX(0,MIN((Setup!$C$6+1+Setup!$C$20),Setup!$C$5+4)-MAX(Setup!$C$5,Setup!$C$4))+$F185*Setup!$C$14*MAX(0,(Setup!$C$6+1+Setup!$C$20)-MAX(Setup!$C$5+4,Setup!$C$4)))+$Y185-$K185-IF(AND($L185&lt;&gt;"",$L185&gt;0),IF($M185&lt;=Setup!$C$10,$L185,0),0)),IF(OR($P185="",$P185&lt;=0),1,$P185)))))</f>
        <v/>
      </c>
      <c r="AS185" s="96" t="str">
        <f>IF($R185&lt;&gt;"OK","",IF(AND($O185&lt;&gt;"Domestic",ISNUMBER(Setup!$C$22),Setup!$C$22&gt;Setup!$C$4),Setup!$C$22,Setup!$C$4))</f>
        <v/>
      </c>
      <c r="AT185" s="96" t="str">
        <f>IF($R185&lt;&gt;"OK","",IF($AB185=0,"",IF($O185="Domestic",$AG185,$AS185+$N185+Setup!$C$27+Setup!$C$11)))</f>
        <v/>
      </c>
    </row>
    <row r="186" ht="15" customHeight="1" s="46">
      <c r="A186" s="70" t="n"/>
      <c r="B186" s="70" t="n"/>
      <c r="C186" s="70" t="n"/>
      <c r="D186" s="85" t="n"/>
      <c r="E186" s="85" t="n"/>
      <c r="F186" s="86" t="n"/>
      <c r="G186" s="87" t="n"/>
      <c r="H186" s="88" t="n"/>
      <c r="I186" s="89" t="n"/>
      <c r="J186" s="90" t="n"/>
      <c r="K186" s="87" t="n"/>
      <c r="L186" s="87" t="n"/>
      <c r="M186" s="91" t="n"/>
      <c r="N186" s="92" t="n"/>
      <c r="O186" s="70" t="n"/>
      <c r="P186" s="92" t="n"/>
      <c r="Q186" s="87" t="n"/>
      <c r="R186" s="79" t="str">
        <f>IF($A186="","",IF($C186="","Missing: type",IF(OR($D186="",$D186&lt;=0),"Missing: unit cost",IF($E186="","Missing: unit price",IF($F186="","Missing: daily sales",IF($K186="","Missing: on hand",IF($N186="","Missing: production days",IF($O186="","Missing: freight mode",IF(ISNA(MATCH($O186,Setup!$B$25:$B$29,0)),"Unknown freight mode",IF(AND($L186&lt;&gt;"",$L186&gt;0,$M186=""),"Missing: on-order arrival date","OK"))))))))))</f>
        <v/>
      </c>
      <c r="S186" s="78" t="str">
        <f>IF($R186&lt;&gt;"OK","",IF($G186="","",ROUND($G186/IF(OR($H186="",$H186&lt;=0),4,$H186)*4,0)))</f>
        <v/>
      </c>
      <c r="T186" s="78" t="str">
        <f>IF($R186&lt;&gt;"OK","",ROUND(IF($G186="",$F186*4*Setup!$C$19,$G186/IF(OR($H186="",$H186&lt;=0),4,$H186)*4*(1+IF($I186="",Setup!$C$16,$I186)))*IF($J186="",1,$J186),0))</f>
        <v/>
      </c>
      <c r="U186" s="78" t="str">
        <f>IF($R186&lt;&gt;"OK","",ROUND($T186*Setup!$C$17,0))</f>
        <v/>
      </c>
      <c r="V186" s="78" t="str">
        <f>IF($R186&lt;&gt;"OK","",ROUND($T186*Setup!$C$18,0))</f>
        <v/>
      </c>
      <c r="W186" s="78" t="str">
        <f>IF($R186&lt;&gt;"OK","",IF($C186="Evergreen",$V186,IF($C186="Seasonal or new",$U186,$T186)))</f>
        <v/>
      </c>
      <c r="X186" s="78" t="str">
        <f>IF($R186&lt;&gt;"OK","",ROUND(($F186*MAX(0,MIN(Setup!$C$13+1,(Setup!$C$5-Setup!$C$7))-Setup!$C$4)+$F186*Setup!$C$8*MAX(0,MIN(Setup!$C$13+1,Setup!$C$5)-MAX((Setup!$C$5-Setup!$C$7),Setup!$C$4))+$W186/4*MAX(0,MIN(Setup!$C$13+1,Setup!$C$5+4)-MAX(Setup!$C$5,Setup!$C$4))+$F186*Setup!$C$14*MAX(0,Setup!$C$13+1-MAX(Setup!$C$5+4,Setup!$C$4))),0))</f>
        <v/>
      </c>
      <c r="Y186" s="78" t="str">
        <f>IF($R186&lt;&gt;"OK","",ROUND($F186*Setup!$C$15,0))</f>
        <v/>
      </c>
      <c r="Z186" s="78" t="str">
        <f>IF($R186&lt;&gt;"OK","",IF(AND($L186&lt;&gt;"",$L186&gt;0),IF($M186&lt;=Setup!$C$13,$L186,0),0))</f>
        <v/>
      </c>
      <c r="AA186" s="78" t="str">
        <f>IF($R186&lt;&gt;"OK","",MAX(0,$X186+$Y186-$K186-$Z186))</f>
        <v/>
      </c>
      <c r="AB186" s="78" t="str">
        <f>IF($R186&lt;&gt;"OK","",IF($AA186=0,0,CEILING(MAX($AA186,IF($Q186="",0,$Q186)),IF(OR($P186="",$P186&lt;=0),1,$P186))))</f>
        <v/>
      </c>
      <c r="AC186" s="78" t="str">
        <f>IF($R186&lt;&gt;"OK","",$AB186*$D186)</f>
        <v/>
      </c>
      <c r="AD186" s="93" t="str">
        <f>IF($R186&lt;&gt;"OK","",INDEX(Setup!$D$25:$D$29,MATCH($O186,Setup!$B$25:$B$29,0)))</f>
        <v/>
      </c>
      <c r="AE186" s="93" t="str">
        <f>IF($R186&lt;&gt;"OK","",$AD186-$N186)</f>
        <v/>
      </c>
      <c r="AF186" s="79" t="str">
        <f>IF($R186&lt;&gt;"OK","",IF($AB186=0,"No order needed",IF($AE186&gt;=$AS186,"Order by the deadline",IF(AND($O186&lt;&gt;"Domestic",Setup!$D$27-$N186&gt;=$AS186),"Late by this mode: fly it",IF(Setup!$D$28-$N186&gt;=$AS186,"Late: Express courier only",IF($AG186&lt;Setup!$C$5,"Tight: lands before Black Friday",IF(AND($O186&lt;&gt;"Domestic",$AT186&lt;Setup!$C$5),"Tight: by Air lands before Black Friday",IF($AS186+$N186+Setup!$C$28+Setup!$C$11&lt;Setup!$C$5,"Tight: by Express lands before Black Friday","Too late: ration"))))))))</f>
        <v/>
      </c>
      <c r="AG186" s="93" t="str">
        <f>IF($R186&lt;&gt;"OK","",IF($AB186=0,"",$AS186+$N186+INDEX(Setup!$C$25:$C$29,MATCH($O186,Setup!$B$25:$B$29,0))+Setup!$C$11))</f>
        <v/>
      </c>
      <c r="AH186" s="93" t="str">
        <f>IF($R186&lt;&gt;"OK","",IF($F186&lt;=0,"",INT(IF($K186&lt;($F186*MAX(0,(Setup!$C$5-Setup!$C$7)-Setup!$C$4)),Setup!$C$4+$K186/$F186,IF($K186&lt;($F186*MAX(0,(Setup!$C$5-Setup!$C$7)-Setup!$C$4))+($F186*Setup!$C$8*MAX(0,Setup!$C$5-MAX((Setup!$C$5-Setup!$C$7),Setup!$C$4))),MAX((Setup!$C$5-Setup!$C$7),Setup!$C$4)+($K186-($F186*MAX(0,(Setup!$C$5-Setup!$C$7)-Setup!$C$4)))/($F186*Setup!$C$8),IF(AND($W186&gt;0,$K186&lt;($F186*MAX(0,(Setup!$C$5-Setup!$C$7)-Setup!$C$4))+($F186*Setup!$C$8*MAX(0,Setup!$C$5-MAX((Setup!$C$5-Setup!$C$7),Setup!$C$4)))+($W186/4*MAX(0,Setup!$C$5+4-MAX(Setup!$C$5,Setup!$C$4)))),MAX(Setup!$C$5,Setup!$C$4)+($K186-($F186*MAX(0,(Setup!$C$5-Setup!$C$7)-Setup!$C$4))-($F186*Setup!$C$8*MAX(0,Setup!$C$5-MAX((Setup!$C$5-Setup!$C$7),Setup!$C$4))))/($W186/4),MAX(Setup!$C$5+4,Setup!$C$4)+($K186-($F186*MAX(0,(Setup!$C$5-Setup!$C$7)-Setup!$C$4))-($F186*Setup!$C$8*MAX(0,Setup!$C$5-MAX((Setup!$C$5-Setup!$C$7),Setup!$C$4)))-($W186/4*MAX(0,Setup!$C$5+4-MAX(Setup!$C$5,Setup!$C$4))))/($F186*Setup!$C$14)))))))</f>
        <v/>
      </c>
      <c r="AI186" s="79" t="str">
        <f>IF($R186&lt;&gt;"OK","",IF(AND($L186&lt;&gt;"",$L186&gt;0,ISNUMBER($AH186),$M186&gt;$AH186),"Runs out before the incoming delivery arrives",IF($AB186=0,"OK",IF($K186+IF(AND($L186&lt;&gt;"",$L186&gt;0),IF($M186&lt;=$AG186,$L186,0),0)&lt;($F186*MAX(0,MIN($AG186,(Setup!$C$5-Setup!$C$7))-Setup!$C$4)+$F186*Setup!$C$8*MAX(0,MIN($AG186,Setup!$C$5)-MAX((Setup!$C$5-Setup!$C$7),Setup!$C$4))+$W186/4*MAX(0,MIN($AG186,Setup!$C$5+4)-MAX(Setup!$C$5,Setup!$C$4))+$F186*Setup!$C$14*MAX(0,$AG186-MAX(Setup!$C$5+4,Setup!$C$4))),"Runs out before this order can land","OK"))))</f>
        <v/>
      </c>
      <c r="AJ186" s="78" t="str">
        <f>IF($R186&lt;&gt;"OK","",IF($AB186=0,0,IF($AL186="Too slow: send it all fast",$AB186,$AR186)))</f>
        <v/>
      </c>
      <c r="AK186" s="78" t="str">
        <f>IF($R186&lt;&gt;"OK","",$AB186-$AJ186)</f>
        <v/>
      </c>
      <c r="AL186" s="78" t="str">
        <f>IF($R186&lt;&gt;"OK","",IF($AB186=0,"",IF($AB186-$AR186=0,"Nothing left over",IF($O186="Domestic",IF($AG186&lt;=Setup!$C$6+Setup!$C$20+1,"Later units can go by Domestic","Too slow: send it all fast"),IF($AS186+$N186+Setup!$C$25+Setup!$C$11&lt;=Setup!$C$6+Setup!$C$20+1,"Later units can go by Ocean long",IF($AS186+$N186+Setup!$C$26+Setup!$C$11&lt;=Setup!$C$6+Setup!$C$20+1,"Later units can go by Ocean short",IF($AS186+$N186+Setup!$C$27+Setup!$C$11&lt;=Setup!$C$6+Setup!$C$20+1,"Later units can go by Air",IF($AS186+$N186+Setup!$C$28+Setup!$C$11&lt;=Setup!$C$6+Setup!$C$20+1,"Later units can go by Express","Too slow: send it all fast"))))))))</f>
        <v/>
      </c>
      <c r="AM186" s="94" t="str">
        <f>IF($R186&lt;&gt;"OK","",$E186-$D186)</f>
        <v/>
      </c>
      <c r="AN186" s="95" t="str">
        <f>IF($R186&lt;&gt;"OK","",($E186-$D186)/$D186)</f>
        <v/>
      </c>
      <c r="AO186" s="95" t="str">
        <f>IF($R186&lt;&gt;"OK","",IF($AB186&gt;0,$AN186+IF($C186="Evergreen",1000,0),""))</f>
        <v/>
      </c>
      <c r="AP186" s="78" t="str">
        <f>IF(OR($R186&lt;&gt;"OK",$AO186=""),"",COUNTIF($AO$6:$AO$205,"&gt;"&amp;$AO186)+COUNTIF($AO$6:$AO186,$AO186))</f>
        <v/>
      </c>
      <c r="AQ186" s="78" t="str">
        <f>IF(OR($R186&lt;&gt;"OK",$AP186=""),"",INDEX('Buy list'!$G$5:$G$204,$AP186))</f>
        <v/>
      </c>
      <c r="AR186" s="78" t="str">
        <f>IF($R186&lt;&gt;"OK","",IF($AB186=0,0,MIN($AB186,CEILING(MAX(0,($F186*MAX(0,MIN((Setup!$C$6+1+Setup!$C$20),(Setup!$C$5-Setup!$C$7))-Setup!$C$4)+$F186*Setup!$C$8*MAX(0,MIN((Setup!$C$6+1+Setup!$C$20),Setup!$C$5)-MAX((Setup!$C$5-Setup!$C$7),Setup!$C$4))+$W186/4*MAX(0,MIN((Setup!$C$6+1+Setup!$C$20),Setup!$C$5+4)-MAX(Setup!$C$5,Setup!$C$4))+$F186*Setup!$C$14*MAX(0,(Setup!$C$6+1+Setup!$C$20)-MAX(Setup!$C$5+4,Setup!$C$4)))+$Y186-$K186-IF(AND($L186&lt;&gt;"",$L186&gt;0),IF($M186&lt;=Setup!$C$10,$L186,0),0)),IF(OR($P186="",$P186&lt;=0),1,$P186)))))</f>
        <v/>
      </c>
      <c r="AS186" s="96" t="str">
        <f>IF($R186&lt;&gt;"OK","",IF(AND($O186&lt;&gt;"Domestic",ISNUMBER(Setup!$C$22),Setup!$C$22&gt;Setup!$C$4),Setup!$C$22,Setup!$C$4))</f>
        <v/>
      </c>
      <c r="AT186" s="96" t="str">
        <f>IF($R186&lt;&gt;"OK","",IF($AB186=0,"",IF($O186="Domestic",$AG186,$AS186+$N186+Setup!$C$27+Setup!$C$11)))</f>
        <v/>
      </c>
    </row>
    <row r="187" ht="15" customHeight="1" s="46">
      <c r="A187" s="70" t="n"/>
      <c r="B187" s="70" t="n"/>
      <c r="C187" s="70" t="n"/>
      <c r="D187" s="85" t="n"/>
      <c r="E187" s="85" t="n"/>
      <c r="F187" s="86" t="n"/>
      <c r="G187" s="87" t="n"/>
      <c r="H187" s="88" t="n"/>
      <c r="I187" s="89" t="n"/>
      <c r="J187" s="90" t="n"/>
      <c r="K187" s="87" t="n"/>
      <c r="L187" s="87" t="n"/>
      <c r="M187" s="91" t="n"/>
      <c r="N187" s="92" t="n"/>
      <c r="O187" s="70" t="n"/>
      <c r="P187" s="92" t="n"/>
      <c r="Q187" s="87" t="n"/>
      <c r="R187" s="79" t="str">
        <f>IF($A187="","",IF($C187="","Missing: type",IF(OR($D187="",$D187&lt;=0),"Missing: unit cost",IF($E187="","Missing: unit price",IF($F187="","Missing: daily sales",IF($K187="","Missing: on hand",IF($N187="","Missing: production days",IF($O187="","Missing: freight mode",IF(ISNA(MATCH($O187,Setup!$B$25:$B$29,0)),"Unknown freight mode",IF(AND($L187&lt;&gt;"",$L187&gt;0,$M187=""),"Missing: on-order arrival date","OK"))))))))))</f>
        <v/>
      </c>
      <c r="S187" s="78" t="str">
        <f>IF($R187&lt;&gt;"OK","",IF($G187="","",ROUND($G187/IF(OR($H187="",$H187&lt;=0),4,$H187)*4,0)))</f>
        <v/>
      </c>
      <c r="T187" s="78" t="str">
        <f>IF($R187&lt;&gt;"OK","",ROUND(IF($G187="",$F187*4*Setup!$C$19,$G187/IF(OR($H187="",$H187&lt;=0),4,$H187)*4*(1+IF($I187="",Setup!$C$16,$I187)))*IF($J187="",1,$J187),0))</f>
        <v/>
      </c>
      <c r="U187" s="78" t="str">
        <f>IF($R187&lt;&gt;"OK","",ROUND($T187*Setup!$C$17,0))</f>
        <v/>
      </c>
      <c r="V187" s="78" t="str">
        <f>IF($R187&lt;&gt;"OK","",ROUND($T187*Setup!$C$18,0))</f>
        <v/>
      </c>
      <c r="W187" s="78" t="str">
        <f>IF($R187&lt;&gt;"OK","",IF($C187="Evergreen",$V187,IF($C187="Seasonal or new",$U187,$T187)))</f>
        <v/>
      </c>
      <c r="X187" s="78" t="str">
        <f>IF($R187&lt;&gt;"OK","",ROUND(($F187*MAX(0,MIN(Setup!$C$13+1,(Setup!$C$5-Setup!$C$7))-Setup!$C$4)+$F187*Setup!$C$8*MAX(0,MIN(Setup!$C$13+1,Setup!$C$5)-MAX((Setup!$C$5-Setup!$C$7),Setup!$C$4))+$W187/4*MAX(0,MIN(Setup!$C$13+1,Setup!$C$5+4)-MAX(Setup!$C$5,Setup!$C$4))+$F187*Setup!$C$14*MAX(0,Setup!$C$13+1-MAX(Setup!$C$5+4,Setup!$C$4))),0))</f>
        <v/>
      </c>
      <c r="Y187" s="78" t="str">
        <f>IF($R187&lt;&gt;"OK","",ROUND($F187*Setup!$C$15,0))</f>
        <v/>
      </c>
      <c r="Z187" s="78" t="str">
        <f>IF($R187&lt;&gt;"OK","",IF(AND($L187&lt;&gt;"",$L187&gt;0),IF($M187&lt;=Setup!$C$13,$L187,0),0))</f>
        <v/>
      </c>
      <c r="AA187" s="78" t="str">
        <f>IF($R187&lt;&gt;"OK","",MAX(0,$X187+$Y187-$K187-$Z187))</f>
        <v/>
      </c>
      <c r="AB187" s="78" t="str">
        <f>IF($R187&lt;&gt;"OK","",IF($AA187=0,0,CEILING(MAX($AA187,IF($Q187="",0,$Q187)),IF(OR($P187="",$P187&lt;=0),1,$P187))))</f>
        <v/>
      </c>
      <c r="AC187" s="78" t="str">
        <f>IF($R187&lt;&gt;"OK","",$AB187*$D187)</f>
        <v/>
      </c>
      <c r="AD187" s="93" t="str">
        <f>IF($R187&lt;&gt;"OK","",INDEX(Setup!$D$25:$D$29,MATCH($O187,Setup!$B$25:$B$29,0)))</f>
        <v/>
      </c>
      <c r="AE187" s="93" t="str">
        <f>IF($R187&lt;&gt;"OK","",$AD187-$N187)</f>
        <v/>
      </c>
      <c r="AF187" s="79" t="str">
        <f>IF($R187&lt;&gt;"OK","",IF($AB187=0,"No order needed",IF($AE187&gt;=$AS187,"Order by the deadline",IF(AND($O187&lt;&gt;"Domestic",Setup!$D$27-$N187&gt;=$AS187),"Late by this mode: fly it",IF(Setup!$D$28-$N187&gt;=$AS187,"Late: Express courier only",IF($AG187&lt;Setup!$C$5,"Tight: lands before Black Friday",IF(AND($O187&lt;&gt;"Domestic",$AT187&lt;Setup!$C$5),"Tight: by Air lands before Black Friday",IF($AS187+$N187+Setup!$C$28+Setup!$C$11&lt;Setup!$C$5,"Tight: by Express lands before Black Friday","Too late: ration"))))))))</f>
        <v/>
      </c>
      <c r="AG187" s="93" t="str">
        <f>IF($R187&lt;&gt;"OK","",IF($AB187=0,"",$AS187+$N187+INDEX(Setup!$C$25:$C$29,MATCH($O187,Setup!$B$25:$B$29,0))+Setup!$C$11))</f>
        <v/>
      </c>
      <c r="AH187" s="93" t="str">
        <f>IF($R187&lt;&gt;"OK","",IF($F187&lt;=0,"",INT(IF($K187&lt;($F187*MAX(0,(Setup!$C$5-Setup!$C$7)-Setup!$C$4)),Setup!$C$4+$K187/$F187,IF($K187&lt;($F187*MAX(0,(Setup!$C$5-Setup!$C$7)-Setup!$C$4))+($F187*Setup!$C$8*MAX(0,Setup!$C$5-MAX((Setup!$C$5-Setup!$C$7),Setup!$C$4))),MAX((Setup!$C$5-Setup!$C$7),Setup!$C$4)+($K187-($F187*MAX(0,(Setup!$C$5-Setup!$C$7)-Setup!$C$4)))/($F187*Setup!$C$8),IF(AND($W187&gt;0,$K187&lt;($F187*MAX(0,(Setup!$C$5-Setup!$C$7)-Setup!$C$4))+($F187*Setup!$C$8*MAX(0,Setup!$C$5-MAX((Setup!$C$5-Setup!$C$7),Setup!$C$4)))+($W187/4*MAX(0,Setup!$C$5+4-MAX(Setup!$C$5,Setup!$C$4)))),MAX(Setup!$C$5,Setup!$C$4)+($K187-($F187*MAX(0,(Setup!$C$5-Setup!$C$7)-Setup!$C$4))-($F187*Setup!$C$8*MAX(0,Setup!$C$5-MAX((Setup!$C$5-Setup!$C$7),Setup!$C$4))))/($W187/4),MAX(Setup!$C$5+4,Setup!$C$4)+($K187-($F187*MAX(0,(Setup!$C$5-Setup!$C$7)-Setup!$C$4))-($F187*Setup!$C$8*MAX(0,Setup!$C$5-MAX((Setup!$C$5-Setup!$C$7),Setup!$C$4)))-($W187/4*MAX(0,Setup!$C$5+4-MAX(Setup!$C$5,Setup!$C$4))))/($F187*Setup!$C$14)))))))</f>
        <v/>
      </c>
      <c r="AI187" s="79" t="str">
        <f>IF($R187&lt;&gt;"OK","",IF(AND($L187&lt;&gt;"",$L187&gt;0,ISNUMBER($AH187),$M187&gt;$AH187),"Runs out before the incoming delivery arrives",IF($AB187=0,"OK",IF($K187+IF(AND($L187&lt;&gt;"",$L187&gt;0),IF($M187&lt;=$AG187,$L187,0),0)&lt;($F187*MAX(0,MIN($AG187,(Setup!$C$5-Setup!$C$7))-Setup!$C$4)+$F187*Setup!$C$8*MAX(0,MIN($AG187,Setup!$C$5)-MAX((Setup!$C$5-Setup!$C$7),Setup!$C$4))+$W187/4*MAX(0,MIN($AG187,Setup!$C$5+4)-MAX(Setup!$C$5,Setup!$C$4))+$F187*Setup!$C$14*MAX(0,$AG187-MAX(Setup!$C$5+4,Setup!$C$4))),"Runs out before this order can land","OK"))))</f>
        <v/>
      </c>
      <c r="AJ187" s="78" t="str">
        <f>IF($R187&lt;&gt;"OK","",IF($AB187=0,0,IF($AL187="Too slow: send it all fast",$AB187,$AR187)))</f>
        <v/>
      </c>
      <c r="AK187" s="78" t="str">
        <f>IF($R187&lt;&gt;"OK","",$AB187-$AJ187)</f>
        <v/>
      </c>
      <c r="AL187" s="78" t="str">
        <f>IF($R187&lt;&gt;"OK","",IF($AB187=0,"",IF($AB187-$AR187=0,"Nothing left over",IF($O187="Domestic",IF($AG187&lt;=Setup!$C$6+Setup!$C$20+1,"Later units can go by Domestic","Too slow: send it all fast"),IF($AS187+$N187+Setup!$C$25+Setup!$C$11&lt;=Setup!$C$6+Setup!$C$20+1,"Later units can go by Ocean long",IF($AS187+$N187+Setup!$C$26+Setup!$C$11&lt;=Setup!$C$6+Setup!$C$20+1,"Later units can go by Ocean short",IF($AS187+$N187+Setup!$C$27+Setup!$C$11&lt;=Setup!$C$6+Setup!$C$20+1,"Later units can go by Air",IF($AS187+$N187+Setup!$C$28+Setup!$C$11&lt;=Setup!$C$6+Setup!$C$20+1,"Later units can go by Express","Too slow: send it all fast"))))))))</f>
        <v/>
      </c>
      <c r="AM187" s="94" t="str">
        <f>IF($R187&lt;&gt;"OK","",$E187-$D187)</f>
        <v/>
      </c>
      <c r="AN187" s="95" t="str">
        <f>IF($R187&lt;&gt;"OK","",($E187-$D187)/$D187)</f>
        <v/>
      </c>
      <c r="AO187" s="95" t="str">
        <f>IF($R187&lt;&gt;"OK","",IF($AB187&gt;0,$AN187+IF($C187="Evergreen",1000,0),""))</f>
        <v/>
      </c>
      <c r="AP187" s="78" t="str">
        <f>IF(OR($R187&lt;&gt;"OK",$AO187=""),"",COUNTIF($AO$6:$AO$205,"&gt;"&amp;$AO187)+COUNTIF($AO$6:$AO187,$AO187))</f>
        <v/>
      </c>
      <c r="AQ187" s="78" t="str">
        <f>IF(OR($R187&lt;&gt;"OK",$AP187=""),"",INDEX('Buy list'!$G$5:$G$204,$AP187))</f>
        <v/>
      </c>
      <c r="AR187" s="78" t="str">
        <f>IF($R187&lt;&gt;"OK","",IF($AB187=0,0,MIN($AB187,CEILING(MAX(0,($F187*MAX(0,MIN((Setup!$C$6+1+Setup!$C$20),(Setup!$C$5-Setup!$C$7))-Setup!$C$4)+$F187*Setup!$C$8*MAX(0,MIN((Setup!$C$6+1+Setup!$C$20),Setup!$C$5)-MAX((Setup!$C$5-Setup!$C$7),Setup!$C$4))+$W187/4*MAX(0,MIN((Setup!$C$6+1+Setup!$C$20),Setup!$C$5+4)-MAX(Setup!$C$5,Setup!$C$4))+$F187*Setup!$C$14*MAX(0,(Setup!$C$6+1+Setup!$C$20)-MAX(Setup!$C$5+4,Setup!$C$4)))+$Y187-$K187-IF(AND($L187&lt;&gt;"",$L187&gt;0),IF($M187&lt;=Setup!$C$10,$L187,0),0)),IF(OR($P187="",$P187&lt;=0),1,$P187)))))</f>
        <v/>
      </c>
      <c r="AS187" s="96" t="str">
        <f>IF($R187&lt;&gt;"OK","",IF(AND($O187&lt;&gt;"Domestic",ISNUMBER(Setup!$C$22),Setup!$C$22&gt;Setup!$C$4),Setup!$C$22,Setup!$C$4))</f>
        <v/>
      </c>
      <c r="AT187" s="96" t="str">
        <f>IF($R187&lt;&gt;"OK","",IF($AB187=0,"",IF($O187="Domestic",$AG187,$AS187+$N187+Setup!$C$27+Setup!$C$11)))</f>
        <v/>
      </c>
    </row>
    <row r="188" ht="15" customHeight="1" s="46">
      <c r="A188" s="70" t="n"/>
      <c r="B188" s="70" t="n"/>
      <c r="C188" s="70" t="n"/>
      <c r="D188" s="85" t="n"/>
      <c r="E188" s="85" t="n"/>
      <c r="F188" s="86" t="n"/>
      <c r="G188" s="87" t="n"/>
      <c r="H188" s="88" t="n"/>
      <c r="I188" s="89" t="n"/>
      <c r="J188" s="90" t="n"/>
      <c r="K188" s="87" t="n"/>
      <c r="L188" s="87" t="n"/>
      <c r="M188" s="91" t="n"/>
      <c r="N188" s="92" t="n"/>
      <c r="O188" s="70" t="n"/>
      <c r="P188" s="92" t="n"/>
      <c r="Q188" s="87" t="n"/>
      <c r="R188" s="79" t="str">
        <f>IF($A188="","",IF($C188="","Missing: type",IF(OR($D188="",$D188&lt;=0),"Missing: unit cost",IF($E188="","Missing: unit price",IF($F188="","Missing: daily sales",IF($K188="","Missing: on hand",IF($N188="","Missing: production days",IF($O188="","Missing: freight mode",IF(ISNA(MATCH($O188,Setup!$B$25:$B$29,0)),"Unknown freight mode",IF(AND($L188&lt;&gt;"",$L188&gt;0,$M188=""),"Missing: on-order arrival date","OK"))))))))))</f>
        <v/>
      </c>
      <c r="S188" s="78" t="str">
        <f>IF($R188&lt;&gt;"OK","",IF($G188="","",ROUND($G188/IF(OR($H188="",$H188&lt;=0),4,$H188)*4,0)))</f>
        <v/>
      </c>
      <c r="T188" s="78" t="str">
        <f>IF($R188&lt;&gt;"OK","",ROUND(IF($G188="",$F188*4*Setup!$C$19,$G188/IF(OR($H188="",$H188&lt;=0),4,$H188)*4*(1+IF($I188="",Setup!$C$16,$I188)))*IF($J188="",1,$J188),0))</f>
        <v/>
      </c>
      <c r="U188" s="78" t="str">
        <f>IF($R188&lt;&gt;"OK","",ROUND($T188*Setup!$C$17,0))</f>
        <v/>
      </c>
      <c r="V188" s="78" t="str">
        <f>IF($R188&lt;&gt;"OK","",ROUND($T188*Setup!$C$18,0))</f>
        <v/>
      </c>
      <c r="W188" s="78" t="str">
        <f>IF($R188&lt;&gt;"OK","",IF($C188="Evergreen",$V188,IF($C188="Seasonal or new",$U188,$T188)))</f>
        <v/>
      </c>
      <c r="X188" s="78" t="str">
        <f>IF($R188&lt;&gt;"OK","",ROUND(($F188*MAX(0,MIN(Setup!$C$13+1,(Setup!$C$5-Setup!$C$7))-Setup!$C$4)+$F188*Setup!$C$8*MAX(0,MIN(Setup!$C$13+1,Setup!$C$5)-MAX((Setup!$C$5-Setup!$C$7),Setup!$C$4))+$W188/4*MAX(0,MIN(Setup!$C$13+1,Setup!$C$5+4)-MAX(Setup!$C$5,Setup!$C$4))+$F188*Setup!$C$14*MAX(0,Setup!$C$13+1-MAX(Setup!$C$5+4,Setup!$C$4))),0))</f>
        <v/>
      </c>
      <c r="Y188" s="78" t="str">
        <f>IF($R188&lt;&gt;"OK","",ROUND($F188*Setup!$C$15,0))</f>
        <v/>
      </c>
      <c r="Z188" s="78" t="str">
        <f>IF($R188&lt;&gt;"OK","",IF(AND($L188&lt;&gt;"",$L188&gt;0),IF($M188&lt;=Setup!$C$13,$L188,0),0))</f>
        <v/>
      </c>
      <c r="AA188" s="78" t="str">
        <f>IF($R188&lt;&gt;"OK","",MAX(0,$X188+$Y188-$K188-$Z188))</f>
        <v/>
      </c>
      <c r="AB188" s="78" t="str">
        <f>IF($R188&lt;&gt;"OK","",IF($AA188=0,0,CEILING(MAX($AA188,IF($Q188="",0,$Q188)),IF(OR($P188="",$P188&lt;=0),1,$P188))))</f>
        <v/>
      </c>
      <c r="AC188" s="78" t="str">
        <f>IF($R188&lt;&gt;"OK","",$AB188*$D188)</f>
        <v/>
      </c>
      <c r="AD188" s="93" t="str">
        <f>IF($R188&lt;&gt;"OK","",INDEX(Setup!$D$25:$D$29,MATCH($O188,Setup!$B$25:$B$29,0)))</f>
        <v/>
      </c>
      <c r="AE188" s="93" t="str">
        <f>IF($R188&lt;&gt;"OK","",$AD188-$N188)</f>
        <v/>
      </c>
      <c r="AF188" s="79" t="str">
        <f>IF($R188&lt;&gt;"OK","",IF($AB188=0,"No order needed",IF($AE188&gt;=$AS188,"Order by the deadline",IF(AND($O188&lt;&gt;"Domestic",Setup!$D$27-$N188&gt;=$AS188),"Late by this mode: fly it",IF(Setup!$D$28-$N188&gt;=$AS188,"Late: Express courier only",IF($AG188&lt;Setup!$C$5,"Tight: lands before Black Friday",IF(AND($O188&lt;&gt;"Domestic",$AT188&lt;Setup!$C$5),"Tight: by Air lands before Black Friday",IF($AS188+$N188+Setup!$C$28+Setup!$C$11&lt;Setup!$C$5,"Tight: by Express lands before Black Friday","Too late: ration"))))))))</f>
        <v/>
      </c>
      <c r="AG188" s="93" t="str">
        <f>IF($R188&lt;&gt;"OK","",IF($AB188=0,"",$AS188+$N188+INDEX(Setup!$C$25:$C$29,MATCH($O188,Setup!$B$25:$B$29,0))+Setup!$C$11))</f>
        <v/>
      </c>
      <c r="AH188" s="93" t="str">
        <f>IF($R188&lt;&gt;"OK","",IF($F188&lt;=0,"",INT(IF($K188&lt;($F188*MAX(0,(Setup!$C$5-Setup!$C$7)-Setup!$C$4)),Setup!$C$4+$K188/$F188,IF($K188&lt;($F188*MAX(0,(Setup!$C$5-Setup!$C$7)-Setup!$C$4))+($F188*Setup!$C$8*MAX(0,Setup!$C$5-MAX((Setup!$C$5-Setup!$C$7),Setup!$C$4))),MAX((Setup!$C$5-Setup!$C$7),Setup!$C$4)+($K188-($F188*MAX(0,(Setup!$C$5-Setup!$C$7)-Setup!$C$4)))/($F188*Setup!$C$8),IF(AND($W188&gt;0,$K188&lt;($F188*MAX(0,(Setup!$C$5-Setup!$C$7)-Setup!$C$4))+($F188*Setup!$C$8*MAX(0,Setup!$C$5-MAX((Setup!$C$5-Setup!$C$7),Setup!$C$4)))+($W188/4*MAX(0,Setup!$C$5+4-MAX(Setup!$C$5,Setup!$C$4)))),MAX(Setup!$C$5,Setup!$C$4)+($K188-($F188*MAX(0,(Setup!$C$5-Setup!$C$7)-Setup!$C$4))-($F188*Setup!$C$8*MAX(0,Setup!$C$5-MAX((Setup!$C$5-Setup!$C$7),Setup!$C$4))))/($W188/4),MAX(Setup!$C$5+4,Setup!$C$4)+($K188-($F188*MAX(0,(Setup!$C$5-Setup!$C$7)-Setup!$C$4))-($F188*Setup!$C$8*MAX(0,Setup!$C$5-MAX((Setup!$C$5-Setup!$C$7),Setup!$C$4)))-($W188/4*MAX(0,Setup!$C$5+4-MAX(Setup!$C$5,Setup!$C$4))))/($F188*Setup!$C$14)))))))</f>
        <v/>
      </c>
      <c r="AI188" s="79" t="str">
        <f>IF($R188&lt;&gt;"OK","",IF(AND($L188&lt;&gt;"",$L188&gt;0,ISNUMBER($AH188),$M188&gt;$AH188),"Runs out before the incoming delivery arrives",IF($AB188=0,"OK",IF($K188+IF(AND($L188&lt;&gt;"",$L188&gt;0),IF($M188&lt;=$AG188,$L188,0),0)&lt;($F188*MAX(0,MIN($AG188,(Setup!$C$5-Setup!$C$7))-Setup!$C$4)+$F188*Setup!$C$8*MAX(0,MIN($AG188,Setup!$C$5)-MAX((Setup!$C$5-Setup!$C$7),Setup!$C$4))+$W188/4*MAX(0,MIN($AG188,Setup!$C$5+4)-MAX(Setup!$C$5,Setup!$C$4))+$F188*Setup!$C$14*MAX(0,$AG188-MAX(Setup!$C$5+4,Setup!$C$4))),"Runs out before this order can land","OK"))))</f>
        <v/>
      </c>
      <c r="AJ188" s="78" t="str">
        <f>IF($R188&lt;&gt;"OK","",IF($AB188=0,0,IF($AL188="Too slow: send it all fast",$AB188,$AR188)))</f>
        <v/>
      </c>
      <c r="AK188" s="78" t="str">
        <f>IF($R188&lt;&gt;"OK","",$AB188-$AJ188)</f>
        <v/>
      </c>
      <c r="AL188" s="78" t="str">
        <f>IF($R188&lt;&gt;"OK","",IF($AB188=0,"",IF($AB188-$AR188=0,"Nothing left over",IF($O188="Domestic",IF($AG188&lt;=Setup!$C$6+Setup!$C$20+1,"Later units can go by Domestic","Too slow: send it all fast"),IF($AS188+$N188+Setup!$C$25+Setup!$C$11&lt;=Setup!$C$6+Setup!$C$20+1,"Later units can go by Ocean long",IF($AS188+$N188+Setup!$C$26+Setup!$C$11&lt;=Setup!$C$6+Setup!$C$20+1,"Later units can go by Ocean short",IF($AS188+$N188+Setup!$C$27+Setup!$C$11&lt;=Setup!$C$6+Setup!$C$20+1,"Later units can go by Air",IF($AS188+$N188+Setup!$C$28+Setup!$C$11&lt;=Setup!$C$6+Setup!$C$20+1,"Later units can go by Express","Too slow: send it all fast"))))))))</f>
        <v/>
      </c>
      <c r="AM188" s="94" t="str">
        <f>IF($R188&lt;&gt;"OK","",$E188-$D188)</f>
        <v/>
      </c>
      <c r="AN188" s="95" t="str">
        <f>IF($R188&lt;&gt;"OK","",($E188-$D188)/$D188)</f>
        <v/>
      </c>
      <c r="AO188" s="95" t="str">
        <f>IF($R188&lt;&gt;"OK","",IF($AB188&gt;0,$AN188+IF($C188="Evergreen",1000,0),""))</f>
        <v/>
      </c>
      <c r="AP188" s="78" t="str">
        <f>IF(OR($R188&lt;&gt;"OK",$AO188=""),"",COUNTIF($AO$6:$AO$205,"&gt;"&amp;$AO188)+COUNTIF($AO$6:$AO188,$AO188))</f>
        <v/>
      </c>
      <c r="AQ188" s="78" t="str">
        <f>IF(OR($R188&lt;&gt;"OK",$AP188=""),"",INDEX('Buy list'!$G$5:$G$204,$AP188))</f>
        <v/>
      </c>
      <c r="AR188" s="78" t="str">
        <f>IF($R188&lt;&gt;"OK","",IF($AB188=0,0,MIN($AB188,CEILING(MAX(0,($F188*MAX(0,MIN((Setup!$C$6+1+Setup!$C$20),(Setup!$C$5-Setup!$C$7))-Setup!$C$4)+$F188*Setup!$C$8*MAX(0,MIN((Setup!$C$6+1+Setup!$C$20),Setup!$C$5)-MAX((Setup!$C$5-Setup!$C$7),Setup!$C$4))+$W188/4*MAX(0,MIN((Setup!$C$6+1+Setup!$C$20),Setup!$C$5+4)-MAX(Setup!$C$5,Setup!$C$4))+$F188*Setup!$C$14*MAX(0,(Setup!$C$6+1+Setup!$C$20)-MAX(Setup!$C$5+4,Setup!$C$4)))+$Y188-$K188-IF(AND($L188&lt;&gt;"",$L188&gt;0),IF($M188&lt;=Setup!$C$10,$L188,0),0)),IF(OR($P188="",$P188&lt;=0),1,$P188)))))</f>
        <v/>
      </c>
      <c r="AS188" s="96" t="str">
        <f>IF($R188&lt;&gt;"OK","",IF(AND($O188&lt;&gt;"Domestic",ISNUMBER(Setup!$C$22),Setup!$C$22&gt;Setup!$C$4),Setup!$C$22,Setup!$C$4))</f>
        <v/>
      </c>
      <c r="AT188" s="96" t="str">
        <f>IF($R188&lt;&gt;"OK","",IF($AB188=0,"",IF($O188="Domestic",$AG188,$AS188+$N188+Setup!$C$27+Setup!$C$11)))</f>
        <v/>
      </c>
    </row>
    <row r="189" ht="15" customHeight="1" s="46">
      <c r="A189" s="70" t="n"/>
      <c r="B189" s="70" t="n"/>
      <c r="C189" s="70" t="n"/>
      <c r="D189" s="85" t="n"/>
      <c r="E189" s="85" t="n"/>
      <c r="F189" s="86" t="n"/>
      <c r="G189" s="87" t="n"/>
      <c r="H189" s="88" t="n"/>
      <c r="I189" s="89" t="n"/>
      <c r="J189" s="90" t="n"/>
      <c r="K189" s="87" t="n"/>
      <c r="L189" s="87" t="n"/>
      <c r="M189" s="91" t="n"/>
      <c r="N189" s="92" t="n"/>
      <c r="O189" s="70" t="n"/>
      <c r="P189" s="92" t="n"/>
      <c r="Q189" s="87" t="n"/>
      <c r="R189" s="79" t="str">
        <f>IF($A189="","",IF($C189="","Missing: type",IF(OR($D189="",$D189&lt;=0),"Missing: unit cost",IF($E189="","Missing: unit price",IF($F189="","Missing: daily sales",IF($K189="","Missing: on hand",IF($N189="","Missing: production days",IF($O189="","Missing: freight mode",IF(ISNA(MATCH($O189,Setup!$B$25:$B$29,0)),"Unknown freight mode",IF(AND($L189&lt;&gt;"",$L189&gt;0,$M189=""),"Missing: on-order arrival date","OK"))))))))))</f>
        <v/>
      </c>
      <c r="S189" s="78" t="str">
        <f>IF($R189&lt;&gt;"OK","",IF($G189="","",ROUND($G189/IF(OR($H189="",$H189&lt;=0),4,$H189)*4,0)))</f>
        <v/>
      </c>
      <c r="T189" s="78" t="str">
        <f>IF($R189&lt;&gt;"OK","",ROUND(IF($G189="",$F189*4*Setup!$C$19,$G189/IF(OR($H189="",$H189&lt;=0),4,$H189)*4*(1+IF($I189="",Setup!$C$16,$I189)))*IF($J189="",1,$J189),0))</f>
        <v/>
      </c>
      <c r="U189" s="78" t="str">
        <f>IF($R189&lt;&gt;"OK","",ROUND($T189*Setup!$C$17,0))</f>
        <v/>
      </c>
      <c r="V189" s="78" t="str">
        <f>IF($R189&lt;&gt;"OK","",ROUND($T189*Setup!$C$18,0))</f>
        <v/>
      </c>
      <c r="W189" s="78" t="str">
        <f>IF($R189&lt;&gt;"OK","",IF($C189="Evergreen",$V189,IF($C189="Seasonal or new",$U189,$T189)))</f>
        <v/>
      </c>
      <c r="X189" s="78" t="str">
        <f>IF($R189&lt;&gt;"OK","",ROUND(($F189*MAX(0,MIN(Setup!$C$13+1,(Setup!$C$5-Setup!$C$7))-Setup!$C$4)+$F189*Setup!$C$8*MAX(0,MIN(Setup!$C$13+1,Setup!$C$5)-MAX((Setup!$C$5-Setup!$C$7),Setup!$C$4))+$W189/4*MAX(0,MIN(Setup!$C$13+1,Setup!$C$5+4)-MAX(Setup!$C$5,Setup!$C$4))+$F189*Setup!$C$14*MAX(0,Setup!$C$13+1-MAX(Setup!$C$5+4,Setup!$C$4))),0))</f>
        <v/>
      </c>
      <c r="Y189" s="78" t="str">
        <f>IF($R189&lt;&gt;"OK","",ROUND($F189*Setup!$C$15,0))</f>
        <v/>
      </c>
      <c r="Z189" s="78" t="str">
        <f>IF($R189&lt;&gt;"OK","",IF(AND($L189&lt;&gt;"",$L189&gt;0),IF($M189&lt;=Setup!$C$13,$L189,0),0))</f>
        <v/>
      </c>
      <c r="AA189" s="78" t="str">
        <f>IF($R189&lt;&gt;"OK","",MAX(0,$X189+$Y189-$K189-$Z189))</f>
        <v/>
      </c>
      <c r="AB189" s="78" t="str">
        <f>IF($R189&lt;&gt;"OK","",IF($AA189=0,0,CEILING(MAX($AA189,IF($Q189="",0,$Q189)),IF(OR($P189="",$P189&lt;=0),1,$P189))))</f>
        <v/>
      </c>
      <c r="AC189" s="78" t="str">
        <f>IF($R189&lt;&gt;"OK","",$AB189*$D189)</f>
        <v/>
      </c>
      <c r="AD189" s="93" t="str">
        <f>IF($R189&lt;&gt;"OK","",INDEX(Setup!$D$25:$D$29,MATCH($O189,Setup!$B$25:$B$29,0)))</f>
        <v/>
      </c>
      <c r="AE189" s="93" t="str">
        <f>IF($R189&lt;&gt;"OK","",$AD189-$N189)</f>
        <v/>
      </c>
      <c r="AF189" s="79" t="str">
        <f>IF($R189&lt;&gt;"OK","",IF($AB189=0,"No order needed",IF($AE189&gt;=$AS189,"Order by the deadline",IF(AND($O189&lt;&gt;"Domestic",Setup!$D$27-$N189&gt;=$AS189),"Late by this mode: fly it",IF(Setup!$D$28-$N189&gt;=$AS189,"Late: Express courier only",IF($AG189&lt;Setup!$C$5,"Tight: lands before Black Friday",IF(AND($O189&lt;&gt;"Domestic",$AT189&lt;Setup!$C$5),"Tight: by Air lands before Black Friday",IF($AS189+$N189+Setup!$C$28+Setup!$C$11&lt;Setup!$C$5,"Tight: by Express lands before Black Friday","Too late: ration"))))))))</f>
        <v/>
      </c>
      <c r="AG189" s="93" t="str">
        <f>IF($R189&lt;&gt;"OK","",IF($AB189=0,"",$AS189+$N189+INDEX(Setup!$C$25:$C$29,MATCH($O189,Setup!$B$25:$B$29,0))+Setup!$C$11))</f>
        <v/>
      </c>
      <c r="AH189" s="93" t="str">
        <f>IF($R189&lt;&gt;"OK","",IF($F189&lt;=0,"",INT(IF($K189&lt;($F189*MAX(0,(Setup!$C$5-Setup!$C$7)-Setup!$C$4)),Setup!$C$4+$K189/$F189,IF($K189&lt;($F189*MAX(0,(Setup!$C$5-Setup!$C$7)-Setup!$C$4))+($F189*Setup!$C$8*MAX(0,Setup!$C$5-MAX((Setup!$C$5-Setup!$C$7),Setup!$C$4))),MAX((Setup!$C$5-Setup!$C$7),Setup!$C$4)+($K189-($F189*MAX(0,(Setup!$C$5-Setup!$C$7)-Setup!$C$4)))/($F189*Setup!$C$8),IF(AND($W189&gt;0,$K189&lt;($F189*MAX(0,(Setup!$C$5-Setup!$C$7)-Setup!$C$4))+($F189*Setup!$C$8*MAX(0,Setup!$C$5-MAX((Setup!$C$5-Setup!$C$7),Setup!$C$4)))+($W189/4*MAX(0,Setup!$C$5+4-MAX(Setup!$C$5,Setup!$C$4)))),MAX(Setup!$C$5,Setup!$C$4)+($K189-($F189*MAX(0,(Setup!$C$5-Setup!$C$7)-Setup!$C$4))-($F189*Setup!$C$8*MAX(0,Setup!$C$5-MAX((Setup!$C$5-Setup!$C$7),Setup!$C$4))))/($W189/4),MAX(Setup!$C$5+4,Setup!$C$4)+($K189-($F189*MAX(0,(Setup!$C$5-Setup!$C$7)-Setup!$C$4))-($F189*Setup!$C$8*MAX(0,Setup!$C$5-MAX((Setup!$C$5-Setup!$C$7),Setup!$C$4)))-($W189/4*MAX(0,Setup!$C$5+4-MAX(Setup!$C$5,Setup!$C$4))))/($F189*Setup!$C$14)))))))</f>
        <v/>
      </c>
      <c r="AI189" s="79" t="str">
        <f>IF($R189&lt;&gt;"OK","",IF(AND($L189&lt;&gt;"",$L189&gt;0,ISNUMBER($AH189),$M189&gt;$AH189),"Runs out before the incoming delivery arrives",IF($AB189=0,"OK",IF($K189+IF(AND($L189&lt;&gt;"",$L189&gt;0),IF($M189&lt;=$AG189,$L189,0),0)&lt;($F189*MAX(0,MIN($AG189,(Setup!$C$5-Setup!$C$7))-Setup!$C$4)+$F189*Setup!$C$8*MAX(0,MIN($AG189,Setup!$C$5)-MAX((Setup!$C$5-Setup!$C$7),Setup!$C$4))+$W189/4*MAX(0,MIN($AG189,Setup!$C$5+4)-MAX(Setup!$C$5,Setup!$C$4))+$F189*Setup!$C$14*MAX(0,$AG189-MAX(Setup!$C$5+4,Setup!$C$4))),"Runs out before this order can land","OK"))))</f>
        <v/>
      </c>
      <c r="AJ189" s="78" t="str">
        <f>IF($R189&lt;&gt;"OK","",IF($AB189=0,0,IF($AL189="Too slow: send it all fast",$AB189,$AR189)))</f>
        <v/>
      </c>
      <c r="AK189" s="78" t="str">
        <f>IF($R189&lt;&gt;"OK","",$AB189-$AJ189)</f>
        <v/>
      </c>
      <c r="AL189" s="78" t="str">
        <f>IF($R189&lt;&gt;"OK","",IF($AB189=0,"",IF($AB189-$AR189=0,"Nothing left over",IF($O189="Domestic",IF($AG189&lt;=Setup!$C$6+Setup!$C$20+1,"Later units can go by Domestic","Too slow: send it all fast"),IF($AS189+$N189+Setup!$C$25+Setup!$C$11&lt;=Setup!$C$6+Setup!$C$20+1,"Later units can go by Ocean long",IF($AS189+$N189+Setup!$C$26+Setup!$C$11&lt;=Setup!$C$6+Setup!$C$20+1,"Later units can go by Ocean short",IF($AS189+$N189+Setup!$C$27+Setup!$C$11&lt;=Setup!$C$6+Setup!$C$20+1,"Later units can go by Air",IF($AS189+$N189+Setup!$C$28+Setup!$C$11&lt;=Setup!$C$6+Setup!$C$20+1,"Later units can go by Express","Too slow: send it all fast"))))))))</f>
        <v/>
      </c>
      <c r="AM189" s="94" t="str">
        <f>IF($R189&lt;&gt;"OK","",$E189-$D189)</f>
        <v/>
      </c>
      <c r="AN189" s="95" t="str">
        <f>IF($R189&lt;&gt;"OK","",($E189-$D189)/$D189)</f>
        <v/>
      </c>
      <c r="AO189" s="95" t="str">
        <f>IF($R189&lt;&gt;"OK","",IF($AB189&gt;0,$AN189+IF($C189="Evergreen",1000,0),""))</f>
        <v/>
      </c>
      <c r="AP189" s="78" t="str">
        <f>IF(OR($R189&lt;&gt;"OK",$AO189=""),"",COUNTIF($AO$6:$AO$205,"&gt;"&amp;$AO189)+COUNTIF($AO$6:$AO189,$AO189))</f>
        <v/>
      </c>
      <c r="AQ189" s="78" t="str">
        <f>IF(OR($R189&lt;&gt;"OK",$AP189=""),"",INDEX('Buy list'!$G$5:$G$204,$AP189))</f>
        <v/>
      </c>
      <c r="AR189" s="78" t="str">
        <f>IF($R189&lt;&gt;"OK","",IF($AB189=0,0,MIN($AB189,CEILING(MAX(0,($F189*MAX(0,MIN((Setup!$C$6+1+Setup!$C$20),(Setup!$C$5-Setup!$C$7))-Setup!$C$4)+$F189*Setup!$C$8*MAX(0,MIN((Setup!$C$6+1+Setup!$C$20),Setup!$C$5)-MAX((Setup!$C$5-Setup!$C$7),Setup!$C$4))+$W189/4*MAX(0,MIN((Setup!$C$6+1+Setup!$C$20),Setup!$C$5+4)-MAX(Setup!$C$5,Setup!$C$4))+$F189*Setup!$C$14*MAX(0,(Setup!$C$6+1+Setup!$C$20)-MAX(Setup!$C$5+4,Setup!$C$4)))+$Y189-$K189-IF(AND($L189&lt;&gt;"",$L189&gt;0),IF($M189&lt;=Setup!$C$10,$L189,0),0)),IF(OR($P189="",$P189&lt;=0),1,$P189)))))</f>
        <v/>
      </c>
      <c r="AS189" s="96" t="str">
        <f>IF($R189&lt;&gt;"OK","",IF(AND($O189&lt;&gt;"Domestic",ISNUMBER(Setup!$C$22),Setup!$C$22&gt;Setup!$C$4),Setup!$C$22,Setup!$C$4))</f>
        <v/>
      </c>
      <c r="AT189" s="96" t="str">
        <f>IF($R189&lt;&gt;"OK","",IF($AB189=0,"",IF($O189="Domestic",$AG189,$AS189+$N189+Setup!$C$27+Setup!$C$11)))</f>
        <v/>
      </c>
    </row>
    <row r="190" ht="15" customHeight="1" s="46">
      <c r="A190" s="70" t="n"/>
      <c r="B190" s="70" t="n"/>
      <c r="C190" s="70" t="n"/>
      <c r="D190" s="85" t="n"/>
      <c r="E190" s="85" t="n"/>
      <c r="F190" s="86" t="n"/>
      <c r="G190" s="87" t="n"/>
      <c r="H190" s="88" t="n"/>
      <c r="I190" s="89" t="n"/>
      <c r="J190" s="90" t="n"/>
      <c r="K190" s="87" t="n"/>
      <c r="L190" s="87" t="n"/>
      <c r="M190" s="91" t="n"/>
      <c r="N190" s="92" t="n"/>
      <c r="O190" s="70" t="n"/>
      <c r="P190" s="92" t="n"/>
      <c r="Q190" s="87" t="n"/>
      <c r="R190" s="79" t="str">
        <f>IF($A190="","",IF($C190="","Missing: type",IF(OR($D190="",$D190&lt;=0),"Missing: unit cost",IF($E190="","Missing: unit price",IF($F190="","Missing: daily sales",IF($K190="","Missing: on hand",IF($N190="","Missing: production days",IF($O190="","Missing: freight mode",IF(ISNA(MATCH($O190,Setup!$B$25:$B$29,0)),"Unknown freight mode",IF(AND($L190&lt;&gt;"",$L190&gt;0,$M190=""),"Missing: on-order arrival date","OK"))))))))))</f>
        <v/>
      </c>
      <c r="S190" s="78" t="str">
        <f>IF($R190&lt;&gt;"OK","",IF($G190="","",ROUND($G190/IF(OR($H190="",$H190&lt;=0),4,$H190)*4,0)))</f>
        <v/>
      </c>
      <c r="T190" s="78" t="str">
        <f>IF($R190&lt;&gt;"OK","",ROUND(IF($G190="",$F190*4*Setup!$C$19,$G190/IF(OR($H190="",$H190&lt;=0),4,$H190)*4*(1+IF($I190="",Setup!$C$16,$I190)))*IF($J190="",1,$J190),0))</f>
        <v/>
      </c>
      <c r="U190" s="78" t="str">
        <f>IF($R190&lt;&gt;"OK","",ROUND($T190*Setup!$C$17,0))</f>
        <v/>
      </c>
      <c r="V190" s="78" t="str">
        <f>IF($R190&lt;&gt;"OK","",ROUND($T190*Setup!$C$18,0))</f>
        <v/>
      </c>
      <c r="W190" s="78" t="str">
        <f>IF($R190&lt;&gt;"OK","",IF($C190="Evergreen",$V190,IF($C190="Seasonal or new",$U190,$T190)))</f>
        <v/>
      </c>
      <c r="X190" s="78" t="str">
        <f>IF($R190&lt;&gt;"OK","",ROUND(($F190*MAX(0,MIN(Setup!$C$13+1,(Setup!$C$5-Setup!$C$7))-Setup!$C$4)+$F190*Setup!$C$8*MAX(0,MIN(Setup!$C$13+1,Setup!$C$5)-MAX((Setup!$C$5-Setup!$C$7),Setup!$C$4))+$W190/4*MAX(0,MIN(Setup!$C$13+1,Setup!$C$5+4)-MAX(Setup!$C$5,Setup!$C$4))+$F190*Setup!$C$14*MAX(0,Setup!$C$13+1-MAX(Setup!$C$5+4,Setup!$C$4))),0))</f>
        <v/>
      </c>
      <c r="Y190" s="78" t="str">
        <f>IF($R190&lt;&gt;"OK","",ROUND($F190*Setup!$C$15,0))</f>
        <v/>
      </c>
      <c r="Z190" s="78" t="str">
        <f>IF($R190&lt;&gt;"OK","",IF(AND($L190&lt;&gt;"",$L190&gt;0),IF($M190&lt;=Setup!$C$13,$L190,0),0))</f>
        <v/>
      </c>
      <c r="AA190" s="78" t="str">
        <f>IF($R190&lt;&gt;"OK","",MAX(0,$X190+$Y190-$K190-$Z190))</f>
        <v/>
      </c>
      <c r="AB190" s="78" t="str">
        <f>IF($R190&lt;&gt;"OK","",IF($AA190=0,0,CEILING(MAX($AA190,IF($Q190="",0,$Q190)),IF(OR($P190="",$P190&lt;=0),1,$P190))))</f>
        <v/>
      </c>
      <c r="AC190" s="78" t="str">
        <f>IF($R190&lt;&gt;"OK","",$AB190*$D190)</f>
        <v/>
      </c>
      <c r="AD190" s="93" t="str">
        <f>IF($R190&lt;&gt;"OK","",INDEX(Setup!$D$25:$D$29,MATCH($O190,Setup!$B$25:$B$29,0)))</f>
        <v/>
      </c>
      <c r="AE190" s="93" t="str">
        <f>IF($R190&lt;&gt;"OK","",$AD190-$N190)</f>
        <v/>
      </c>
      <c r="AF190" s="79" t="str">
        <f>IF($R190&lt;&gt;"OK","",IF($AB190=0,"No order needed",IF($AE190&gt;=$AS190,"Order by the deadline",IF(AND($O190&lt;&gt;"Domestic",Setup!$D$27-$N190&gt;=$AS190),"Late by this mode: fly it",IF(Setup!$D$28-$N190&gt;=$AS190,"Late: Express courier only",IF($AG190&lt;Setup!$C$5,"Tight: lands before Black Friday",IF(AND($O190&lt;&gt;"Domestic",$AT190&lt;Setup!$C$5),"Tight: by Air lands before Black Friday",IF($AS190+$N190+Setup!$C$28+Setup!$C$11&lt;Setup!$C$5,"Tight: by Express lands before Black Friday","Too late: ration"))))))))</f>
        <v/>
      </c>
      <c r="AG190" s="93" t="str">
        <f>IF($R190&lt;&gt;"OK","",IF($AB190=0,"",$AS190+$N190+INDEX(Setup!$C$25:$C$29,MATCH($O190,Setup!$B$25:$B$29,0))+Setup!$C$11))</f>
        <v/>
      </c>
      <c r="AH190" s="93" t="str">
        <f>IF($R190&lt;&gt;"OK","",IF($F190&lt;=0,"",INT(IF($K190&lt;($F190*MAX(0,(Setup!$C$5-Setup!$C$7)-Setup!$C$4)),Setup!$C$4+$K190/$F190,IF($K190&lt;($F190*MAX(0,(Setup!$C$5-Setup!$C$7)-Setup!$C$4))+($F190*Setup!$C$8*MAX(0,Setup!$C$5-MAX((Setup!$C$5-Setup!$C$7),Setup!$C$4))),MAX((Setup!$C$5-Setup!$C$7),Setup!$C$4)+($K190-($F190*MAX(0,(Setup!$C$5-Setup!$C$7)-Setup!$C$4)))/($F190*Setup!$C$8),IF(AND($W190&gt;0,$K190&lt;($F190*MAX(0,(Setup!$C$5-Setup!$C$7)-Setup!$C$4))+($F190*Setup!$C$8*MAX(0,Setup!$C$5-MAX((Setup!$C$5-Setup!$C$7),Setup!$C$4)))+($W190/4*MAX(0,Setup!$C$5+4-MAX(Setup!$C$5,Setup!$C$4)))),MAX(Setup!$C$5,Setup!$C$4)+($K190-($F190*MAX(0,(Setup!$C$5-Setup!$C$7)-Setup!$C$4))-($F190*Setup!$C$8*MAX(0,Setup!$C$5-MAX((Setup!$C$5-Setup!$C$7),Setup!$C$4))))/($W190/4),MAX(Setup!$C$5+4,Setup!$C$4)+($K190-($F190*MAX(0,(Setup!$C$5-Setup!$C$7)-Setup!$C$4))-($F190*Setup!$C$8*MAX(0,Setup!$C$5-MAX((Setup!$C$5-Setup!$C$7),Setup!$C$4)))-($W190/4*MAX(0,Setup!$C$5+4-MAX(Setup!$C$5,Setup!$C$4))))/($F190*Setup!$C$14)))))))</f>
        <v/>
      </c>
      <c r="AI190" s="79" t="str">
        <f>IF($R190&lt;&gt;"OK","",IF(AND($L190&lt;&gt;"",$L190&gt;0,ISNUMBER($AH190),$M190&gt;$AH190),"Runs out before the incoming delivery arrives",IF($AB190=0,"OK",IF($K190+IF(AND($L190&lt;&gt;"",$L190&gt;0),IF($M190&lt;=$AG190,$L190,0),0)&lt;($F190*MAX(0,MIN($AG190,(Setup!$C$5-Setup!$C$7))-Setup!$C$4)+$F190*Setup!$C$8*MAX(0,MIN($AG190,Setup!$C$5)-MAX((Setup!$C$5-Setup!$C$7),Setup!$C$4))+$W190/4*MAX(0,MIN($AG190,Setup!$C$5+4)-MAX(Setup!$C$5,Setup!$C$4))+$F190*Setup!$C$14*MAX(0,$AG190-MAX(Setup!$C$5+4,Setup!$C$4))),"Runs out before this order can land","OK"))))</f>
        <v/>
      </c>
      <c r="AJ190" s="78" t="str">
        <f>IF($R190&lt;&gt;"OK","",IF($AB190=0,0,IF($AL190="Too slow: send it all fast",$AB190,$AR190)))</f>
        <v/>
      </c>
      <c r="AK190" s="78" t="str">
        <f>IF($R190&lt;&gt;"OK","",$AB190-$AJ190)</f>
        <v/>
      </c>
      <c r="AL190" s="78" t="str">
        <f>IF($R190&lt;&gt;"OK","",IF($AB190=0,"",IF($AB190-$AR190=0,"Nothing left over",IF($O190="Domestic",IF($AG190&lt;=Setup!$C$6+Setup!$C$20+1,"Later units can go by Domestic","Too slow: send it all fast"),IF($AS190+$N190+Setup!$C$25+Setup!$C$11&lt;=Setup!$C$6+Setup!$C$20+1,"Later units can go by Ocean long",IF($AS190+$N190+Setup!$C$26+Setup!$C$11&lt;=Setup!$C$6+Setup!$C$20+1,"Later units can go by Ocean short",IF($AS190+$N190+Setup!$C$27+Setup!$C$11&lt;=Setup!$C$6+Setup!$C$20+1,"Later units can go by Air",IF($AS190+$N190+Setup!$C$28+Setup!$C$11&lt;=Setup!$C$6+Setup!$C$20+1,"Later units can go by Express","Too slow: send it all fast"))))))))</f>
        <v/>
      </c>
      <c r="AM190" s="94" t="str">
        <f>IF($R190&lt;&gt;"OK","",$E190-$D190)</f>
        <v/>
      </c>
      <c r="AN190" s="95" t="str">
        <f>IF($R190&lt;&gt;"OK","",($E190-$D190)/$D190)</f>
        <v/>
      </c>
      <c r="AO190" s="95" t="str">
        <f>IF($R190&lt;&gt;"OK","",IF($AB190&gt;0,$AN190+IF($C190="Evergreen",1000,0),""))</f>
        <v/>
      </c>
      <c r="AP190" s="78" t="str">
        <f>IF(OR($R190&lt;&gt;"OK",$AO190=""),"",COUNTIF($AO$6:$AO$205,"&gt;"&amp;$AO190)+COUNTIF($AO$6:$AO190,$AO190))</f>
        <v/>
      </c>
      <c r="AQ190" s="78" t="str">
        <f>IF(OR($R190&lt;&gt;"OK",$AP190=""),"",INDEX('Buy list'!$G$5:$G$204,$AP190))</f>
        <v/>
      </c>
      <c r="AR190" s="78" t="str">
        <f>IF($R190&lt;&gt;"OK","",IF($AB190=0,0,MIN($AB190,CEILING(MAX(0,($F190*MAX(0,MIN((Setup!$C$6+1+Setup!$C$20),(Setup!$C$5-Setup!$C$7))-Setup!$C$4)+$F190*Setup!$C$8*MAX(0,MIN((Setup!$C$6+1+Setup!$C$20),Setup!$C$5)-MAX((Setup!$C$5-Setup!$C$7),Setup!$C$4))+$W190/4*MAX(0,MIN((Setup!$C$6+1+Setup!$C$20),Setup!$C$5+4)-MAX(Setup!$C$5,Setup!$C$4))+$F190*Setup!$C$14*MAX(0,(Setup!$C$6+1+Setup!$C$20)-MAX(Setup!$C$5+4,Setup!$C$4)))+$Y190-$K190-IF(AND($L190&lt;&gt;"",$L190&gt;0),IF($M190&lt;=Setup!$C$10,$L190,0),0)),IF(OR($P190="",$P190&lt;=0),1,$P190)))))</f>
        <v/>
      </c>
      <c r="AS190" s="96" t="str">
        <f>IF($R190&lt;&gt;"OK","",IF(AND($O190&lt;&gt;"Domestic",ISNUMBER(Setup!$C$22),Setup!$C$22&gt;Setup!$C$4),Setup!$C$22,Setup!$C$4))</f>
        <v/>
      </c>
      <c r="AT190" s="96" t="str">
        <f>IF($R190&lt;&gt;"OK","",IF($AB190=0,"",IF($O190="Domestic",$AG190,$AS190+$N190+Setup!$C$27+Setup!$C$11)))</f>
        <v/>
      </c>
    </row>
    <row r="191" ht="15" customHeight="1" s="46">
      <c r="A191" s="70" t="n"/>
      <c r="B191" s="70" t="n"/>
      <c r="C191" s="70" t="n"/>
      <c r="D191" s="85" t="n"/>
      <c r="E191" s="85" t="n"/>
      <c r="F191" s="86" t="n"/>
      <c r="G191" s="87" t="n"/>
      <c r="H191" s="88" t="n"/>
      <c r="I191" s="89" t="n"/>
      <c r="J191" s="90" t="n"/>
      <c r="K191" s="87" t="n"/>
      <c r="L191" s="87" t="n"/>
      <c r="M191" s="91" t="n"/>
      <c r="N191" s="92" t="n"/>
      <c r="O191" s="70" t="n"/>
      <c r="P191" s="92" t="n"/>
      <c r="Q191" s="87" t="n"/>
      <c r="R191" s="79" t="str">
        <f>IF($A191="","",IF($C191="","Missing: type",IF(OR($D191="",$D191&lt;=0),"Missing: unit cost",IF($E191="","Missing: unit price",IF($F191="","Missing: daily sales",IF($K191="","Missing: on hand",IF($N191="","Missing: production days",IF($O191="","Missing: freight mode",IF(ISNA(MATCH($O191,Setup!$B$25:$B$29,0)),"Unknown freight mode",IF(AND($L191&lt;&gt;"",$L191&gt;0,$M191=""),"Missing: on-order arrival date","OK"))))))))))</f>
        <v/>
      </c>
      <c r="S191" s="78" t="str">
        <f>IF($R191&lt;&gt;"OK","",IF($G191="","",ROUND($G191/IF(OR($H191="",$H191&lt;=0),4,$H191)*4,0)))</f>
        <v/>
      </c>
      <c r="T191" s="78" t="str">
        <f>IF($R191&lt;&gt;"OK","",ROUND(IF($G191="",$F191*4*Setup!$C$19,$G191/IF(OR($H191="",$H191&lt;=0),4,$H191)*4*(1+IF($I191="",Setup!$C$16,$I191)))*IF($J191="",1,$J191),0))</f>
        <v/>
      </c>
      <c r="U191" s="78" t="str">
        <f>IF($R191&lt;&gt;"OK","",ROUND($T191*Setup!$C$17,0))</f>
        <v/>
      </c>
      <c r="V191" s="78" t="str">
        <f>IF($R191&lt;&gt;"OK","",ROUND($T191*Setup!$C$18,0))</f>
        <v/>
      </c>
      <c r="W191" s="78" t="str">
        <f>IF($R191&lt;&gt;"OK","",IF($C191="Evergreen",$V191,IF($C191="Seasonal or new",$U191,$T191)))</f>
        <v/>
      </c>
      <c r="X191" s="78" t="str">
        <f>IF($R191&lt;&gt;"OK","",ROUND(($F191*MAX(0,MIN(Setup!$C$13+1,(Setup!$C$5-Setup!$C$7))-Setup!$C$4)+$F191*Setup!$C$8*MAX(0,MIN(Setup!$C$13+1,Setup!$C$5)-MAX((Setup!$C$5-Setup!$C$7),Setup!$C$4))+$W191/4*MAX(0,MIN(Setup!$C$13+1,Setup!$C$5+4)-MAX(Setup!$C$5,Setup!$C$4))+$F191*Setup!$C$14*MAX(0,Setup!$C$13+1-MAX(Setup!$C$5+4,Setup!$C$4))),0))</f>
        <v/>
      </c>
      <c r="Y191" s="78" t="str">
        <f>IF($R191&lt;&gt;"OK","",ROUND($F191*Setup!$C$15,0))</f>
        <v/>
      </c>
      <c r="Z191" s="78" t="str">
        <f>IF($R191&lt;&gt;"OK","",IF(AND($L191&lt;&gt;"",$L191&gt;0),IF($M191&lt;=Setup!$C$13,$L191,0),0))</f>
        <v/>
      </c>
      <c r="AA191" s="78" t="str">
        <f>IF($R191&lt;&gt;"OK","",MAX(0,$X191+$Y191-$K191-$Z191))</f>
        <v/>
      </c>
      <c r="AB191" s="78" t="str">
        <f>IF($R191&lt;&gt;"OK","",IF($AA191=0,0,CEILING(MAX($AA191,IF($Q191="",0,$Q191)),IF(OR($P191="",$P191&lt;=0),1,$P191))))</f>
        <v/>
      </c>
      <c r="AC191" s="78" t="str">
        <f>IF($R191&lt;&gt;"OK","",$AB191*$D191)</f>
        <v/>
      </c>
      <c r="AD191" s="93" t="str">
        <f>IF($R191&lt;&gt;"OK","",INDEX(Setup!$D$25:$D$29,MATCH($O191,Setup!$B$25:$B$29,0)))</f>
        <v/>
      </c>
      <c r="AE191" s="93" t="str">
        <f>IF($R191&lt;&gt;"OK","",$AD191-$N191)</f>
        <v/>
      </c>
      <c r="AF191" s="79" t="str">
        <f>IF($R191&lt;&gt;"OK","",IF($AB191=0,"No order needed",IF($AE191&gt;=$AS191,"Order by the deadline",IF(AND($O191&lt;&gt;"Domestic",Setup!$D$27-$N191&gt;=$AS191),"Late by this mode: fly it",IF(Setup!$D$28-$N191&gt;=$AS191,"Late: Express courier only",IF($AG191&lt;Setup!$C$5,"Tight: lands before Black Friday",IF(AND($O191&lt;&gt;"Domestic",$AT191&lt;Setup!$C$5),"Tight: by Air lands before Black Friday",IF($AS191+$N191+Setup!$C$28+Setup!$C$11&lt;Setup!$C$5,"Tight: by Express lands before Black Friday","Too late: ration"))))))))</f>
        <v/>
      </c>
      <c r="AG191" s="93" t="str">
        <f>IF($R191&lt;&gt;"OK","",IF($AB191=0,"",$AS191+$N191+INDEX(Setup!$C$25:$C$29,MATCH($O191,Setup!$B$25:$B$29,0))+Setup!$C$11))</f>
        <v/>
      </c>
      <c r="AH191" s="93" t="str">
        <f>IF($R191&lt;&gt;"OK","",IF($F191&lt;=0,"",INT(IF($K191&lt;($F191*MAX(0,(Setup!$C$5-Setup!$C$7)-Setup!$C$4)),Setup!$C$4+$K191/$F191,IF($K191&lt;($F191*MAX(0,(Setup!$C$5-Setup!$C$7)-Setup!$C$4))+($F191*Setup!$C$8*MAX(0,Setup!$C$5-MAX((Setup!$C$5-Setup!$C$7),Setup!$C$4))),MAX((Setup!$C$5-Setup!$C$7),Setup!$C$4)+($K191-($F191*MAX(0,(Setup!$C$5-Setup!$C$7)-Setup!$C$4)))/($F191*Setup!$C$8),IF(AND($W191&gt;0,$K191&lt;($F191*MAX(0,(Setup!$C$5-Setup!$C$7)-Setup!$C$4))+($F191*Setup!$C$8*MAX(0,Setup!$C$5-MAX((Setup!$C$5-Setup!$C$7),Setup!$C$4)))+($W191/4*MAX(0,Setup!$C$5+4-MAX(Setup!$C$5,Setup!$C$4)))),MAX(Setup!$C$5,Setup!$C$4)+($K191-($F191*MAX(0,(Setup!$C$5-Setup!$C$7)-Setup!$C$4))-($F191*Setup!$C$8*MAX(0,Setup!$C$5-MAX((Setup!$C$5-Setup!$C$7),Setup!$C$4))))/($W191/4),MAX(Setup!$C$5+4,Setup!$C$4)+($K191-($F191*MAX(0,(Setup!$C$5-Setup!$C$7)-Setup!$C$4))-($F191*Setup!$C$8*MAX(0,Setup!$C$5-MAX((Setup!$C$5-Setup!$C$7),Setup!$C$4)))-($W191/4*MAX(0,Setup!$C$5+4-MAX(Setup!$C$5,Setup!$C$4))))/($F191*Setup!$C$14)))))))</f>
        <v/>
      </c>
      <c r="AI191" s="79" t="str">
        <f>IF($R191&lt;&gt;"OK","",IF(AND($L191&lt;&gt;"",$L191&gt;0,ISNUMBER($AH191),$M191&gt;$AH191),"Runs out before the incoming delivery arrives",IF($AB191=0,"OK",IF($K191+IF(AND($L191&lt;&gt;"",$L191&gt;0),IF($M191&lt;=$AG191,$L191,0),0)&lt;($F191*MAX(0,MIN($AG191,(Setup!$C$5-Setup!$C$7))-Setup!$C$4)+$F191*Setup!$C$8*MAX(0,MIN($AG191,Setup!$C$5)-MAX((Setup!$C$5-Setup!$C$7),Setup!$C$4))+$W191/4*MAX(0,MIN($AG191,Setup!$C$5+4)-MAX(Setup!$C$5,Setup!$C$4))+$F191*Setup!$C$14*MAX(0,$AG191-MAX(Setup!$C$5+4,Setup!$C$4))),"Runs out before this order can land","OK"))))</f>
        <v/>
      </c>
      <c r="AJ191" s="78" t="str">
        <f>IF($R191&lt;&gt;"OK","",IF($AB191=0,0,IF($AL191="Too slow: send it all fast",$AB191,$AR191)))</f>
        <v/>
      </c>
      <c r="AK191" s="78" t="str">
        <f>IF($R191&lt;&gt;"OK","",$AB191-$AJ191)</f>
        <v/>
      </c>
      <c r="AL191" s="78" t="str">
        <f>IF($R191&lt;&gt;"OK","",IF($AB191=0,"",IF($AB191-$AR191=0,"Nothing left over",IF($O191="Domestic",IF($AG191&lt;=Setup!$C$6+Setup!$C$20+1,"Later units can go by Domestic","Too slow: send it all fast"),IF($AS191+$N191+Setup!$C$25+Setup!$C$11&lt;=Setup!$C$6+Setup!$C$20+1,"Later units can go by Ocean long",IF($AS191+$N191+Setup!$C$26+Setup!$C$11&lt;=Setup!$C$6+Setup!$C$20+1,"Later units can go by Ocean short",IF($AS191+$N191+Setup!$C$27+Setup!$C$11&lt;=Setup!$C$6+Setup!$C$20+1,"Later units can go by Air",IF($AS191+$N191+Setup!$C$28+Setup!$C$11&lt;=Setup!$C$6+Setup!$C$20+1,"Later units can go by Express","Too slow: send it all fast"))))))))</f>
        <v/>
      </c>
      <c r="AM191" s="94" t="str">
        <f>IF($R191&lt;&gt;"OK","",$E191-$D191)</f>
        <v/>
      </c>
      <c r="AN191" s="95" t="str">
        <f>IF($R191&lt;&gt;"OK","",($E191-$D191)/$D191)</f>
        <v/>
      </c>
      <c r="AO191" s="95" t="str">
        <f>IF($R191&lt;&gt;"OK","",IF($AB191&gt;0,$AN191+IF($C191="Evergreen",1000,0),""))</f>
        <v/>
      </c>
      <c r="AP191" s="78" t="str">
        <f>IF(OR($R191&lt;&gt;"OK",$AO191=""),"",COUNTIF($AO$6:$AO$205,"&gt;"&amp;$AO191)+COUNTIF($AO$6:$AO191,$AO191))</f>
        <v/>
      </c>
      <c r="AQ191" s="78" t="str">
        <f>IF(OR($R191&lt;&gt;"OK",$AP191=""),"",INDEX('Buy list'!$G$5:$G$204,$AP191))</f>
        <v/>
      </c>
      <c r="AR191" s="78" t="str">
        <f>IF($R191&lt;&gt;"OK","",IF($AB191=0,0,MIN($AB191,CEILING(MAX(0,($F191*MAX(0,MIN((Setup!$C$6+1+Setup!$C$20),(Setup!$C$5-Setup!$C$7))-Setup!$C$4)+$F191*Setup!$C$8*MAX(0,MIN((Setup!$C$6+1+Setup!$C$20),Setup!$C$5)-MAX((Setup!$C$5-Setup!$C$7),Setup!$C$4))+$W191/4*MAX(0,MIN((Setup!$C$6+1+Setup!$C$20),Setup!$C$5+4)-MAX(Setup!$C$5,Setup!$C$4))+$F191*Setup!$C$14*MAX(0,(Setup!$C$6+1+Setup!$C$20)-MAX(Setup!$C$5+4,Setup!$C$4)))+$Y191-$K191-IF(AND($L191&lt;&gt;"",$L191&gt;0),IF($M191&lt;=Setup!$C$10,$L191,0),0)),IF(OR($P191="",$P191&lt;=0),1,$P191)))))</f>
        <v/>
      </c>
      <c r="AS191" s="96" t="str">
        <f>IF($R191&lt;&gt;"OK","",IF(AND($O191&lt;&gt;"Domestic",ISNUMBER(Setup!$C$22),Setup!$C$22&gt;Setup!$C$4),Setup!$C$22,Setup!$C$4))</f>
        <v/>
      </c>
      <c r="AT191" s="96" t="str">
        <f>IF($R191&lt;&gt;"OK","",IF($AB191=0,"",IF($O191="Domestic",$AG191,$AS191+$N191+Setup!$C$27+Setup!$C$11)))</f>
        <v/>
      </c>
    </row>
    <row r="192" ht="15" customHeight="1" s="46">
      <c r="A192" s="70" t="n"/>
      <c r="B192" s="70" t="n"/>
      <c r="C192" s="70" t="n"/>
      <c r="D192" s="85" t="n"/>
      <c r="E192" s="85" t="n"/>
      <c r="F192" s="86" t="n"/>
      <c r="G192" s="87" t="n"/>
      <c r="H192" s="88" t="n"/>
      <c r="I192" s="89" t="n"/>
      <c r="J192" s="90" t="n"/>
      <c r="K192" s="87" t="n"/>
      <c r="L192" s="87" t="n"/>
      <c r="M192" s="91" t="n"/>
      <c r="N192" s="92" t="n"/>
      <c r="O192" s="70" t="n"/>
      <c r="P192" s="92" t="n"/>
      <c r="Q192" s="87" t="n"/>
      <c r="R192" s="79" t="str">
        <f>IF($A192="","",IF($C192="","Missing: type",IF(OR($D192="",$D192&lt;=0),"Missing: unit cost",IF($E192="","Missing: unit price",IF($F192="","Missing: daily sales",IF($K192="","Missing: on hand",IF($N192="","Missing: production days",IF($O192="","Missing: freight mode",IF(ISNA(MATCH($O192,Setup!$B$25:$B$29,0)),"Unknown freight mode",IF(AND($L192&lt;&gt;"",$L192&gt;0,$M192=""),"Missing: on-order arrival date","OK"))))))))))</f>
        <v/>
      </c>
      <c r="S192" s="78" t="str">
        <f>IF($R192&lt;&gt;"OK","",IF($G192="","",ROUND($G192/IF(OR($H192="",$H192&lt;=0),4,$H192)*4,0)))</f>
        <v/>
      </c>
      <c r="T192" s="78" t="str">
        <f>IF($R192&lt;&gt;"OK","",ROUND(IF($G192="",$F192*4*Setup!$C$19,$G192/IF(OR($H192="",$H192&lt;=0),4,$H192)*4*(1+IF($I192="",Setup!$C$16,$I192)))*IF($J192="",1,$J192),0))</f>
        <v/>
      </c>
      <c r="U192" s="78" t="str">
        <f>IF($R192&lt;&gt;"OK","",ROUND($T192*Setup!$C$17,0))</f>
        <v/>
      </c>
      <c r="V192" s="78" t="str">
        <f>IF($R192&lt;&gt;"OK","",ROUND($T192*Setup!$C$18,0))</f>
        <v/>
      </c>
      <c r="W192" s="78" t="str">
        <f>IF($R192&lt;&gt;"OK","",IF($C192="Evergreen",$V192,IF($C192="Seasonal or new",$U192,$T192)))</f>
        <v/>
      </c>
      <c r="X192" s="78" t="str">
        <f>IF($R192&lt;&gt;"OK","",ROUND(($F192*MAX(0,MIN(Setup!$C$13+1,(Setup!$C$5-Setup!$C$7))-Setup!$C$4)+$F192*Setup!$C$8*MAX(0,MIN(Setup!$C$13+1,Setup!$C$5)-MAX((Setup!$C$5-Setup!$C$7),Setup!$C$4))+$W192/4*MAX(0,MIN(Setup!$C$13+1,Setup!$C$5+4)-MAX(Setup!$C$5,Setup!$C$4))+$F192*Setup!$C$14*MAX(0,Setup!$C$13+1-MAX(Setup!$C$5+4,Setup!$C$4))),0))</f>
        <v/>
      </c>
      <c r="Y192" s="78" t="str">
        <f>IF($R192&lt;&gt;"OK","",ROUND($F192*Setup!$C$15,0))</f>
        <v/>
      </c>
      <c r="Z192" s="78" t="str">
        <f>IF($R192&lt;&gt;"OK","",IF(AND($L192&lt;&gt;"",$L192&gt;0),IF($M192&lt;=Setup!$C$13,$L192,0),0))</f>
        <v/>
      </c>
      <c r="AA192" s="78" t="str">
        <f>IF($R192&lt;&gt;"OK","",MAX(0,$X192+$Y192-$K192-$Z192))</f>
        <v/>
      </c>
      <c r="AB192" s="78" t="str">
        <f>IF($R192&lt;&gt;"OK","",IF($AA192=0,0,CEILING(MAX($AA192,IF($Q192="",0,$Q192)),IF(OR($P192="",$P192&lt;=0),1,$P192))))</f>
        <v/>
      </c>
      <c r="AC192" s="78" t="str">
        <f>IF($R192&lt;&gt;"OK","",$AB192*$D192)</f>
        <v/>
      </c>
      <c r="AD192" s="93" t="str">
        <f>IF($R192&lt;&gt;"OK","",INDEX(Setup!$D$25:$D$29,MATCH($O192,Setup!$B$25:$B$29,0)))</f>
        <v/>
      </c>
      <c r="AE192" s="93" t="str">
        <f>IF($R192&lt;&gt;"OK","",$AD192-$N192)</f>
        <v/>
      </c>
      <c r="AF192" s="79" t="str">
        <f>IF($R192&lt;&gt;"OK","",IF($AB192=0,"No order needed",IF($AE192&gt;=$AS192,"Order by the deadline",IF(AND($O192&lt;&gt;"Domestic",Setup!$D$27-$N192&gt;=$AS192),"Late by this mode: fly it",IF(Setup!$D$28-$N192&gt;=$AS192,"Late: Express courier only",IF($AG192&lt;Setup!$C$5,"Tight: lands before Black Friday",IF(AND($O192&lt;&gt;"Domestic",$AT192&lt;Setup!$C$5),"Tight: by Air lands before Black Friday",IF($AS192+$N192+Setup!$C$28+Setup!$C$11&lt;Setup!$C$5,"Tight: by Express lands before Black Friday","Too late: ration"))))))))</f>
        <v/>
      </c>
      <c r="AG192" s="93" t="str">
        <f>IF($R192&lt;&gt;"OK","",IF($AB192=0,"",$AS192+$N192+INDEX(Setup!$C$25:$C$29,MATCH($O192,Setup!$B$25:$B$29,0))+Setup!$C$11))</f>
        <v/>
      </c>
      <c r="AH192" s="93" t="str">
        <f>IF($R192&lt;&gt;"OK","",IF($F192&lt;=0,"",INT(IF($K192&lt;($F192*MAX(0,(Setup!$C$5-Setup!$C$7)-Setup!$C$4)),Setup!$C$4+$K192/$F192,IF($K192&lt;($F192*MAX(0,(Setup!$C$5-Setup!$C$7)-Setup!$C$4))+($F192*Setup!$C$8*MAX(0,Setup!$C$5-MAX((Setup!$C$5-Setup!$C$7),Setup!$C$4))),MAX((Setup!$C$5-Setup!$C$7),Setup!$C$4)+($K192-($F192*MAX(0,(Setup!$C$5-Setup!$C$7)-Setup!$C$4)))/($F192*Setup!$C$8),IF(AND($W192&gt;0,$K192&lt;($F192*MAX(0,(Setup!$C$5-Setup!$C$7)-Setup!$C$4))+($F192*Setup!$C$8*MAX(0,Setup!$C$5-MAX((Setup!$C$5-Setup!$C$7),Setup!$C$4)))+($W192/4*MAX(0,Setup!$C$5+4-MAX(Setup!$C$5,Setup!$C$4)))),MAX(Setup!$C$5,Setup!$C$4)+($K192-($F192*MAX(0,(Setup!$C$5-Setup!$C$7)-Setup!$C$4))-($F192*Setup!$C$8*MAX(0,Setup!$C$5-MAX((Setup!$C$5-Setup!$C$7),Setup!$C$4))))/($W192/4),MAX(Setup!$C$5+4,Setup!$C$4)+($K192-($F192*MAX(0,(Setup!$C$5-Setup!$C$7)-Setup!$C$4))-($F192*Setup!$C$8*MAX(0,Setup!$C$5-MAX((Setup!$C$5-Setup!$C$7),Setup!$C$4)))-($W192/4*MAX(0,Setup!$C$5+4-MAX(Setup!$C$5,Setup!$C$4))))/($F192*Setup!$C$14)))))))</f>
        <v/>
      </c>
      <c r="AI192" s="79" t="str">
        <f>IF($R192&lt;&gt;"OK","",IF(AND($L192&lt;&gt;"",$L192&gt;0,ISNUMBER($AH192),$M192&gt;$AH192),"Runs out before the incoming delivery arrives",IF($AB192=0,"OK",IF($K192+IF(AND($L192&lt;&gt;"",$L192&gt;0),IF($M192&lt;=$AG192,$L192,0),0)&lt;($F192*MAX(0,MIN($AG192,(Setup!$C$5-Setup!$C$7))-Setup!$C$4)+$F192*Setup!$C$8*MAX(0,MIN($AG192,Setup!$C$5)-MAX((Setup!$C$5-Setup!$C$7),Setup!$C$4))+$W192/4*MAX(0,MIN($AG192,Setup!$C$5+4)-MAX(Setup!$C$5,Setup!$C$4))+$F192*Setup!$C$14*MAX(0,$AG192-MAX(Setup!$C$5+4,Setup!$C$4))),"Runs out before this order can land","OK"))))</f>
        <v/>
      </c>
      <c r="AJ192" s="78" t="str">
        <f>IF($R192&lt;&gt;"OK","",IF($AB192=0,0,IF($AL192="Too slow: send it all fast",$AB192,$AR192)))</f>
        <v/>
      </c>
      <c r="AK192" s="78" t="str">
        <f>IF($R192&lt;&gt;"OK","",$AB192-$AJ192)</f>
        <v/>
      </c>
      <c r="AL192" s="78" t="str">
        <f>IF($R192&lt;&gt;"OK","",IF($AB192=0,"",IF($AB192-$AR192=0,"Nothing left over",IF($O192="Domestic",IF($AG192&lt;=Setup!$C$6+Setup!$C$20+1,"Later units can go by Domestic","Too slow: send it all fast"),IF($AS192+$N192+Setup!$C$25+Setup!$C$11&lt;=Setup!$C$6+Setup!$C$20+1,"Later units can go by Ocean long",IF($AS192+$N192+Setup!$C$26+Setup!$C$11&lt;=Setup!$C$6+Setup!$C$20+1,"Later units can go by Ocean short",IF($AS192+$N192+Setup!$C$27+Setup!$C$11&lt;=Setup!$C$6+Setup!$C$20+1,"Later units can go by Air",IF($AS192+$N192+Setup!$C$28+Setup!$C$11&lt;=Setup!$C$6+Setup!$C$20+1,"Later units can go by Express","Too slow: send it all fast"))))))))</f>
        <v/>
      </c>
      <c r="AM192" s="94" t="str">
        <f>IF($R192&lt;&gt;"OK","",$E192-$D192)</f>
        <v/>
      </c>
      <c r="AN192" s="95" t="str">
        <f>IF($R192&lt;&gt;"OK","",($E192-$D192)/$D192)</f>
        <v/>
      </c>
      <c r="AO192" s="95" t="str">
        <f>IF($R192&lt;&gt;"OK","",IF($AB192&gt;0,$AN192+IF($C192="Evergreen",1000,0),""))</f>
        <v/>
      </c>
      <c r="AP192" s="78" t="str">
        <f>IF(OR($R192&lt;&gt;"OK",$AO192=""),"",COUNTIF($AO$6:$AO$205,"&gt;"&amp;$AO192)+COUNTIF($AO$6:$AO192,$AO192))</f>
        <v/>
      </c>
      <c r="AQ192" s="78" t="str">
        <f>IF(OR($R192&lt;&gt;"OK",$AP192=""),"",INDEX('Buy list'!$G$5:$G$204,$AP192))</f>
        <v/>
      </c>
      <c r="AR192" s="78" t="str">
        <f>IF($R192&lt;&gt;"OK","",IF($AB192=0,0,MIN($AB192,CEILING(MAX(0,($F192*MAX(0,MIN((Setup!$C$6+1+Setup!$C$20),(Setup!$C$5-Setup!$C$7))-Setup!$C$4)+$F192*Setup!$C$8*MAX(0,MIN((Setup!$C$6+1+Setup!$C$20),Setup!$C$5)-MAX((Setup!$C$5-Setup!$C$7),Setup!$C$4))+$W192/4*MAX(0,MIN((Setup!$C$6+1+Setup!$C$20),Setup!$C$5+4)-MAX(Setup!$C$5,Setup!$C$4))+$F192*Setup!$C$14*MAX(0,(Setup!$C$6+1+Setup!$C$20)-MAX(Setup!$C$5+4,Setup!$C$4)))+$Y192-$K192-IF(AND($L192&lt;&gt;"",$L192&gt;0),IF($M192&lt;=Setup!$C$10,$L192,0),0)),IF(OR($P192="",$P192&lt;=0),1,$P192)))))</f>
        <v/>
      </c>
      <c r="AS192" s="96" t="str">
        <f>IF($R192&lt;&gt;"OK","",IF(AND($O192&lt;&gt;"Domestic",ISNUMBER(Setup!$C$22),Setup!$C$22&gt;Setup!$C$4),Setup!$C$22,Setup!$C$4))</f>
        <v/>
      </c>
      <c r="AT192" s="96" t="str">
        <f>IF($R192&lt;&gt;"OK","",IF($AB192=0,"",IF($O192="Domestic",$AG192,$AS192+$N192+Setup!$C$27+Setup!$C$11)))</f>
        <v/>
      </c>
    </row>
    <row r="193" ht="15" customHeight="1" s="46">
      <c r="A193" s="70" t="n"/>
      <c r="B193" s="70" t="n"/>
      <c r="C193" s="70" t="n"/>
      <c r="D193" s="85" t="n"/>
      <c r="E193" s="85" t="n"/>
      <c r="F193" s="86" t="n"/>
      <c r="G193" s="87" t="n"/>
      <c r="H193" s="88" t="n"/>
      <c r="I193" s="89" t="n"/>
      <c r="J193" s="90" t="n"/>
      <c r="K193" s="87" t="n"/>
      <c r="L193" s="87" t="n"/>
      <c r="M193" s="91" t="n"/>
      <c r="N193" s="92" t="n"/>
      <c r="O193" s="70" t="n"/>
      <c r="P193" s="92" t="n"/>
      <c r="Q193" s="87" t="n"/>
      <c r="R193" s="79" t="str">
        <f>IF($A193="","",IF($C193="","Missing: type",IF(OR($D193="",$D193&lt;=0),"Missing: unit cost",IF($E193="","Missing: unit price",IF($F193="","Missing: daily sales",IF($K193="","Missing: on hand",IF($N193="","Missing: production days",IF($O193="","Missing: freight mode",IF(ISNA(MATCH($O193,Setup!$B$25:$B$29,0)),"Unknown freight mode",IF(AND($L193&lt;&gt;"",$L193&gt;0,$M193=""),"Missing: on-order arrival date","OK"))))))))))</f>
        <v/>
      </c>
      <c r="S193" s="78" t="str">
        <f>IF($R193&lt;&gt;"OK","",IF($G193="","",ROUND($G193/IF(OR($H193="",$H193&lt;=0),4,$H193)*4,0)))</f>
        <v/>
      </c>
      <c r="T193" s="78" t="str">
        <f>IF($R193&lt;&gt;"OK","",ROUND(IF($G193="",$F193*4*Setup!$C$19,$G193/IF(OR($H193="",$H193&lt;=0),4,$H193)*4*(1+IF($I193="",Setup!$C$16,$I193)))*IF($J193="",1,$J193),0))</f>
        <v/>
      </c>
      <c r="U193" s="78" t="str">
        <f>IF($R193&lt;&gt;"OK","",ROUND($T193*Setup!$C$17,0))</f>
        <v/>
      </c>
      <c r="V193" s="78" t="str">
        <f>IF($R193&lt;&gt;"OK","",ROUND($T193*Setup!$C$18,0))</f>
        <v/>
      </c>
      <c r="W193" s="78" t="str">
        <f>IF($R193&lt;&gt;"OK","",IF($C193="Evergreen",$V193,IF($C193="Seasonal or new",$U193,$T193)))</f>
        <v/>
      </c>
      <c r="X193" s="78" t="str">
        <f>IF($R193&lt;&gt;"OK","",ROUND(($F193*MAX(0,MIN(Setup!$C$13+1,(Setup!$C$5-Setup!$C$7))-Setup!$C$4)+$F193*Setup!$C$8*MAX(0,MIN(Setup!$C$13+1,Setup!$C$5)-MAX((Setup!$C$5-Setup!$C$7),Setup!$C$4))+$W193/4*MAX(0,MIN(Setup!$C$13+1,Setup!$C$5+4)-MAX(Setup!$C$5,Setup!$C$4))+$F193*Setup!$C$14*MAX(0,Setup!$C$13+1-MAX(Setup!$C$5+4,Setup!$C$4))),0))</f>
        <v/>
      </c>
      <c r="Y193" s="78" t="str">
        <f>IF($R193&lt;&gt;"OK","",ROUND($F193*Setup!$C$15,0))</f>
        <v/>
      </c>
      <c r="Z193" s="78" t="str">
        <f>IF($R193&lt;&gt;"OK","",IF(AND($L193&lt;&gt;"",$L193&gt;0),IF($M193&lt;=Setup!$C$13,$L193,0),0))</f>
        <v/>
      </c>
      <c r="AA193" s="78" t="str">
        <f>IF($R193&lt;&gt;"OK","",MAX(0,$X193+$Y193-$K193-$Z193))</f>
        <v/>
      </c>
      <c r="AB193" s="78" t="str">
        <f>IF($R193&lt;&gt;"OK","",IF($AA193=0,0,CEILING(MAX($AA193,IF($Q193="",0,$Q193)),IF(OR($P193="",$P193&lt;=0),1,$P193))))</f>
        <v/>
      </c>
      <c r="AC193" s="78" t="str">
        <f>IF($R193&lt;&gt;"OK","",$AB193*$D193)</f>
        <v/>
      </c>
      <c r="AD193" s="93" t="str">
        <f>IF($R193&lt;&gt;"OK","",INDEX(Setup!$D$25:$D$29,MATCH($O193,Setup!$B$25:$B$29,0)))</f>
        <v/>
      </c>
      <c r="AE193" s="93" t="str">
        <f>IF($R193&lt;&gt;"OK","",$AD193-$N193)</f>
        <v/>
      </c>
      <c r="AF193" s="79" t="str">
        <f>IF($R193&lt;&gt;"OK","",IF($AB193=0,"No order needed",IF($AE193&gt;=$AS193,"Order by the deadline",IF(AND($O193&lt;&gt;"Domestic",Setup!$D$27-$N193&gt;=$AS193),"Late by this mode: fly it",IF(Setup!$D$28-$N193&gt;=$AS193,"Late: Express courier only",IF($AG193&lt;Setup!$C$5,"Tight: lands before Black Friday",IF(AND($O193&lt;&gt;"Domestic",$AT193&lt;Setup!$C$5),"Tight: by Air lands before Black Friday",IF($AS193+$N193+Setup!$C$28+Setup!$C$11&lt;Setup!$C$5,"Tight: by Express lands before Black Friday","Too late: ration"))))))))</f>
        <v/>
      </c>
      <c r="AG193" s="93" t="str">
        <f>IF($R193&lt;&gt;"OK","",IF($AB193=0,"",$AS193+$N193+INDEX(Setup!$C$25:$C$29,MATCH($O193,Setup!$B$25:$B$29,0))+Setup!$C$11))</f>
        <v/>
      </c>
      <c r="AH193" s="93" t="str">
        <f>IF($R193&lt;&gt;"OK","",IF($F193&lt;=0,"",INT(IF($K193&lt;($F193*MAX(0,(Setup!$C$5-Setup!$C$7)-Setup!$C$4)),Setup!$C$4+$K193/$F193,IF($K193&lt;($F193*MAX(0,(Setup!$C$5-Setup!$C$7)-Setup!$C$4))+($F193*Setup!$C$8*MAX(0,Setup!$C$5-MAX((Setup!$C$5-Setup!$C$7),Setup!$C$4))),MAX((Setup!$C$5-Setup!$C$7),Setup!$C$4)+($K193-($F193*MAX(0,(Setup!$C$5-Setup!$C$7)-Setup!$C$4)))/($F193*Setup!$C$8),IF(AND($W193&gt;0,$K193&lt;($F193*MAX(0,(Setup!$C$5-Setup!$C$7)-Setup!$C$4))+($F193*Setup!$C$8*MAX(0,Setup!$C$5-MAX((Setup!$C$5-Setup!$C$7),Setup!$C$4)))+($W193/4*MAX(0,Setup!$C$5+4-MAX(Setup!$C$5,Setup!$C$4)))),MAX(Setup!$C$5,Setup!$C$4)+($K193-($F193*MAX(0,(Setup!$C$5-Setup!$C$7)-Setup!$C$4))-($F193*Setup!$C$8*MAX(0,Setup!$C$5-MAX((Setup!$C$5-Setup!$C$7),Setup!$C$4))))/($W193/4),MAX(Setup!$C$5+4,Setup!$C$4)+($K193-($F193*MAX(0,(Setup!$C$5-Setup!$C$7)-Setup!$C$4))-($F193*Setup!$C$8*MAX(0,Setup!$C$5-MAX((Setup!$C$5-Setup!$C$7),Setup!$C$4)))-($W193/4*MAX(0,Setup!$C$5+4-MAX(Setup!$C$5,Setup!$C$4))))/($F193*Setup!$C$14)))))))</f>
        <v/>
      </c>
      <c r="AI193" s="79" t="str">
        <f>IF($R193&lt;&gt;"OK","",IF(AND($L193&lt;&gt;"",$L193&gt;0,ISNUMBER($AH193),$M193&gt;$AH193),"Runs out before the incoming delivery arrives",IF($AB193=0,"OK",IF($K193+IF(AND($L193&lt;&gt;"",$L193&gt;0),IF($M193&lt;=$AG193,$L193,0),0)&lt;($F193*MAX(0,MIN($AG193,(Setup!$C$5-Setup!$C$7))-Setup!$C$4)+$F193*Setup!$C$8*MAX(0,MIN($AG193,Setup!$C$5)-MAX((Setup!$C$5-Setup!$C$7),Setup!$C$4))+$W193/4*MAX(0,MIN($AG193,Setup!$C$5+4)-MAX(Setup!$C$5,Setup!$C$4))+$F193*Setup!$C$14*MAX(0,$AG193-MAX(Setup!$C$5+4,Setup!$C$4))),"Runs out before this order can land","OK"))))</f>
        <v/>
      </c>
      <c r="AJ193" s="78" t="str">
        <f>IF($R193&lt;&gt;"OK","",IF($AB193=0,0,IF($AL193="Too slow: send it all fast",$AB193,$AR193)))</f>
        <v/>
      </c>
      <c r="AK193" s="78" t="str">
        <f>IF($R193&lt;&gt;"OK","",$AB193-$AJ193)</f>
        <v/>
      </c>
      <c r="AL193" s="78" t="str">
        <f>IF($R193&lt;&gt;"OK","",IF($AB193=0,"",IF($AB193-$AR193=0,"Nothing left over",IF($O193="Domestic",IF($AG193&lt;=Setup!$C$6+Setup!$C$20+1,"Later units can go by Domestic","Too slow: send it all fast"),IF($AS193+$N193+Setup!$C$25+Setup!$C$11&lt;=Setup!$C$6+Setup!$C$20+1,"Later units can go by Ocean long",IF($AS193+$N193+Setup!$C$26+Setup!$C$11&lt;=Setup!$C$6+Setup!$C$20+1,"Later units can go by Ocean short",IF($AS193+$N193+Setup!$C$27+Setup!$C$11&lt;=Setup!$C$6+Setup!$C$20+1,"Later units can go by Air",IF($AS193+$N193+Setup!$C$28+Setup!$C$11&lt;=Setup!$C$6+Setup!$C$20+1,"Later units can go by Express","Too slow: send it all fast"))))))))</f>
        <v/>
      </c>
      <c r="AM193" s="94" t="str">
        <f>IF($R193&lt;&gt;"OK","",$E193-$D193)</f>
        <v/>
      </c>
      <c r="AN193" s="95" t="str">
        <f>IF($R193&lt;&gt;"OK","",($E193-$D193)/$D193)</f>
        <v/>
      </c>
      <c r="AO193" s="95" t="str">
        <f>IF($R193&lt;&gt;"OK","",IF($AB193&gt;0,$AN193+IF($C193="Evergreen",1000,0),""))</f>
        <v/>
      </c>
      <c r="AP193" s="78" t="str">
        <f>IF(OR($R193&lt;&gt;"OK",$AO193=""),"",COUNTIF($AO$6:$AO$205,"&gt;"&amp;$AO193)+COUNTIF($AO$6:$AO193,$AO193))</f>
        <v/>
      </c>
      <c r="AQ193" s="78" t="str">
        <f>IF(OR($R193&lt;&gt;"OK",$AP193=""),"",INDEX('Buy list'!$G$5:$G$204,$AP193))</f>
        <v/>
      </c>
      <c r="AR193" s="78" t="str">
        <f>IF($R193&lt;&gt;"OK","",IF($AB193=0,0,MIN($AB193,CEILING(MAX(0,($F193*MAX(0,MIN((Setup!$C$6+1+Setup!$C$20),(Setup!$C$5-Setup!$C$7))-Setup!$C$4)+$F193*Setup!$C$8*MAX(0,MIN((Setup!$C$6+1+Setup!$C$20),Setup!$C$5)-MAX((Setup!$C$5-Setup!$C$7),Setup!$C$4))+$W193/4*MAX(0,MIN((Setup!$C$6+1+Setup!$C$20),Setup!$C$5+4)-MAX(Setup!$C$5,Setup!$C$4))+$F193*Setup!$C$14*MAX(0,(Setup!$C$6+1+Setup!$C$20)-MAX(Setup!$C$5+4,Setup!$C$4)))+$Y193-$K193-IF(AND($L193&lt;&gt;"",$L193&gt;0),IF($M193&lt;=Setup!$C$10,$L193,0),0)),IF(OR($P193="",$P193&lt;=0),1,$P193)))))</f>
        <v/>
      </c>
      <c r="AS193" s="96" t="str">
        <f>IF($R193&lt;&gt;"OK","",IF(AND($O193&lt;&gt;"Domestic",ISNUMBER(Setup!$C$22),Setup!$C$22&gt;Setup!$C$4),Setup!$C$22,Setup!$C$4))</f>
        <v/>
      </c>
      <c r="AT193" s="96" t="str">
        <f>IF($R193&lt;&gt;"OK","",IF($AB193=0,"",IF($O193="Domestic",$AG193,$AS193+$N193+Setup!$C$27+Setup!$C$11)))</f>
        <v/>
      </c>
    </row>
    <row r="194" ht="15" customHeight="1" s="46">
      <c r="A194" s="70" t="n"/>
      <c r="B194" s="70" t="n"/>
      <c r="C194" s="70" t="n"/>
      <c r="D194" s="85" t="n"/>
      <c r="E194" s="85" t="n"/>
      <c r="F194" s="86" t="n"/>
      <c r="G194" s="87" t="n"/>
      <c r="H194" s="88" t="n"/>
      <c r="I194" s="89" t="n"/>
      <c r="J194" s="90" t="n"/>
      <c r="K194" s="87" t="n"/>
      <c r="L194" s="87" t="n"/>
      <c r="M194" s="91" t="n"/>
      <c r="N194" s="92" t="n"/>
      <c r="O194" s="70" t="n"/>
      <c r="P194" s="92" t="n"/>
      <c r="Q194" s="87" t="n"/>
      <c r="R194" s="79" t="str">
        <f>IF($A194="","",IF($C194="","Missing: type",IF(OR($D194="",$D194&lt;=0),"Missing: unit cost",IF($E194="","Missing: unit price",IF($F194="","Missing: daily sales",IF($K194="","Missing: on hand",IF($N194="","Missing: production days",IF($O194="","Missing: freight mode",IF(ISNA(MATCH($O194,Setup!$B$25:$B$29,0)),"Unknown freight mode",IF(AND($L194&lt;&gt;"",$L194&gt;0,$M194=""),"Missing: on-order arrival date","OK"))))))))))</f>
        <v/>
      </c>
      <c r="S194" s="78" t="str">
        <f>IF($R194&lt;&gt;"OK","",IF($G194="","",ROUND($G194/IF(OR($H194="",$H194&lt;=0),4,$H194)*4,0)))</f>
        <v/>
      </c>
      <c r="T194" s="78" t="str">
        <f>IF($R194&lt;&gt;"OK","",ROUND(IF($G194="",$F194*4*Setup!$C$19,$G194/IF(OR($H194="",$H194&lt;=0),4,$H194)*4*(1+IF($I194="",Setup!$C$16,$I194)))*IF($J194="",1,$J194),0))</f>
        <v/>
      </c>
      <c r="U194" s="78" t="str">
        <f>IF($R194&lt;&gt;"OK","",ROUND($T194*Setup!$C$17,0))</f>
        <v/>
      </c>
      <c r="V194" s="78" t="str">
        <f>IF($R194&lt;&gt;"OK","",ROUND($T194*Setup!$C$18,0))</f>
        <v/>
      </c>
      <c r="W194" s="78" t="str">
        <f>IF($R194&lt;&gt;"OK","",IF($C194="Evergreen",$V194,IF($C194="Seasonal or new",$U194,$T194)))</f>
        <v/>
      </c>
      <c r="X194" s="78" t="str">
        <f>IF($R194&lt;&gt;"OK","",ROUND(($F194*MAX(0,MIN(Setup!$C$13+1,(Setup!$C$5-Setup!$C$7))-Setup!$C$4)+$F194*Setup!$C$8*MAX(0,MIN(Setup!$C$13+1,Setup!$C$5)-MAX((Setup!$C$5-Setup!$C$7),Setup!$C$4))+$W194/4*MAX(0,MIN(Setup!$C$13+1,Setup!$C$5+4)-MAX(Setup!$C$5,Setup!$C$4))+$F194*Setup!$C$14*MAX(0,Setup!$C$13+1-MAX(Setup!$C$5+4,Setup!$C$4))),0))</f>
        <v/>
      </c>
      <c r="Y194" s="78" t="str">
        <f>IF($R194&lt;&gt;"OK","",ROUND($F194*Setup!$C$15,0))</f>
        <v/>
      </c>
      <c r="Z194" s="78" t="str">
        <f>IF($R194&lt;&gt;"OK","",IF(AND($L194&lt;&gt;"",$L194&gt;0),IF($M194&lt;=Setup!$C$13,$L194,0),0))</f>
        <v/>
      </c>
      <c r="AA194" s="78" t="str">
        <f>IF($R194&lt;&gt;"OK","",MAX(0,$X194+$Y194-$K194-$Z194))</f>
        <v/>
      </c>
      <c r="AB194" s="78" t="str">
        <f>IF($R194&lt;&gt;"OK","",IF($AA194=0,0,CEILING(MAX($AA194,IF($Q194="",0,$Q194)),IF(OR($P194="",$P194&lt;=0),1,$P194))))</f>
        <v/>
      </c>
      <c r="AC194" s="78" t="str">
        <f>IF($R194&lt;&gt;"OK","",$AB194*$D194)</f>
        <v/>
      </c>
      <c r="AD194" s="93" t="str">
        <f>IF($R194&lt;&gt;"OK","",INDEX(Setup!$D$25:$D$29,MATCH($O194,Setup!$B$25:$B$29,0)))</f>
        <v/>
      </c>
      <c r="AE194" s="93" t="str">
        <f>IF($R194&lt;&gt;"OK","",$AD194-$N194)</f>
        <v/>
      </c>
      <c r="AF194" s="79" t="str">
        <f>IF($R194&lt;&gt;"OK","",IF($AB194=0,"No order needed",IF($AE194&gt;=$AS194,"Order by the deadline",IF(AND($O194&lt;&gt;"Domestic",Setup!$D$27-$N194&gt;=$AS194),"Late by this mode: fly it",IF(Setup!$D$28-$N194&gt;=$AS194,"Late: Express courier only",IF($AG194&lt;Setup!$C$5,"Tight: lands before Black Friday",IF(AND($O194&lt;&gt;"Domestic",$AT194&lt;Setup!$C$5),"Tight: by Air lands before Black Friday",IF($AS194+$N194+Setup!$C$28+Setup!$C$11&lt;Setup!$C$5,"Tight: by Express lands before Black Friday","Too late: ration"))))))))</f>
        <v/>
      </c>
      <c r="AG194" s="93" t="str">
        <f>IF($R194&lt;&gt;"OK","",IF($AB194=0,"",$AS194+$N194+INDEX(Setup!$C$25:$C$29,MATCH($O194,Setup!$B$25:$B$29,0))+Setup!$C$11))</f>
        <v/>
      </c>
      <c r="AH194" s="93" t="str">
        <f>IF($R194&lt;&gt;"OK","",IF($F194&lt;=0,"",INT(IF($K194&lt;($F194*MAX(0,(Setup!$C$5-Setup!$C$7)-Setup!$C$4)),Setup!$C$4+$K194/$F194,IF($K194&lt;($F194*MAX(0,(Setup!$C$5-Setup!$C$7)-Setup!$C$4))+($F194*Setup!$C$8*MAX(0,Setup!$C$5-MAX((Setup!$C$5-Setup!$C$7),Setup!$C$4))),MAX((Setup!$C$5-Setup!$C$7),Setup!$C$4)+($K194-($F194*MAX(0,(Setup!$C$5-Setup!$C$7)-Setup!$C$4)))/($F194*Setup!$C$8),IF(AND($W194&gt;0,$K194&lt;($F194*MAX(0,(Setup!$C$5-Setup!$C$7)-Setup!$C$4))+($F194*Setup!$C$8*MAX(0,Setup!$C$5-MAX((Setup!$C$5-Setup!$C$7),Setup!$C$4)))+($W194/4*MAX(0,Setup!$C$5+4-MAX(Setup!$C$5,Setup!$C$4)))),MAX(Setup!$C$5,Setup!$C$4)+($K194-($F194*MAX(0,(Setup!$C$5-Setup!$C$7)-Setup!$C$4))-($F194*Setup!$C$8*MAX(0,Setup!$C$5-MAX((Setup!$C$5-Setup!$C$7),Setup!$C$4))))/($W194/4),MAX(Setup!$C$5+4,Setup!$C$4)+($K194-($F194*MAX(0,(Setup!$C$5-Setup!$C$7)-Setup!$C$4))-($F194*Setup!$C$8*MAX(0,Setup!$C$5-MAX((Setup!$C$5-Setup!$C$7),Setup!$C$4)))-($W194/4*MAX(0,Setup!$C$5+4-MAX(Setup!$C$5,Setup!$C$4))))/($F194*Setup!$C$14)))))))</f>
        <v/>
      </c>
      <c r="AI194" s="79" t="str">
        <f>IF($R194&lt;&gt;"OK","",IF(AND($L194&lt;&gt;"",$L194&gt;0,ISNUMBER($AH194),$M194&gt;$AH194),"Runs out before the incoming delivery arrives",IF($AB194=0,"OK",IF($K194+IF(AND($L194&lt;&gt;"",$L194&gt;0),IF($M194&lt;=$AG194,$L194,0),0)&lt;($F194*MAX(0,MIN($AG194,(Setup!$C$5-Setup!$C$7))-Setup!$C$4)+$F194*Setup!$C$8*MAX(0,MIN($AG194,Setup!$C$5)-MAX((Setup!$C$5-Setup!$C$7),Setup!$C$4))+$W194/4*MAX(0,MIN($AG194,Setup!$C$5+4)-MAX(Setup!$C$5,Setup!$C$4))+$F194*Setup!$C$14*MAX(0,$AG194-MAX(Setup!$C$5+4,Setup!$C$4))),"Runs out before this order can land","OK"))))</f>
        <v/>
      </c>
      <c r="AJ194" s="78" t="str">
        <f>IF($R194&lt;&gt;"OK","",IF($AB194=0,0,IF($AL194="Too slow: send it all fast",$AB194,$AR194)))</f>
        <v/>
      </c>
      <c r="AK194" s="78" t="str">
        <f>IF($R194&lt;&gt;"OK","",$AB194-$AJ194)</f>
        <v/>
      </c>
      <c r="AL194" s="78" t="str">
        <f>IF($R194&lt;&gt;"OK","",IF($AB194=0,"",IF($AB194-$AR194=0,"Nothing left over",IF($O194="Domestic",IF($AG194&lt;=Setup!$C$6+Setup!$C$20+1,"Later units can go by Domestic","Too slow: send it all fast"),IF($AS194+$N194+Setup!$C$25+Setup!$C$11&lt;=Setup!$C$6+Setup!$C$20+1,"Later units can go by Ocean long",IF($AS194+$N194+Setup!$C$26+Setup!$C$11&lt;=Setup!$C$6+Setup!$C$20+1,"Later units can go by Ocean short",IF($AS194+$N194+Setup!$C$27+Setup!$C$11&lt;=Setup!$C$6+Setup!$C$20+1,"Later units can go by Air",IF($AS194+$N194+Setup!$C$28+Setup!$C$11&lt;=Setup!$C$6+Setup!$C$20+1,"Later units can go by Express","Too slow: send it all fast"))))))))</f>
        <v/>
      </c>
      <c r="AM194" s="94" t="str">
        <f>IF($R194&lt;&gt;"OK","",$E194-$D194)</f>
        <v/>
      </c>
      <c r="AN194" s="95" t="str">
        <f>IF($R194&lt;&gt;"OK","",($E194-$D194)/$D194)</f>
        <v/>
      </c>
      <c r="AO194" s="95" t="str">
        <f>IF($R194&lt;&gt;"OK","",IF($AB194&gt;0,$AN194+IF($C194="Evergreen",1000,0),""))</f>
        <v/>
      </c>
      <c r="AP194" s="78" t="str">
        <f>IF(OR($R194&lt;&gt;"OK",$AO194=""),"",COUNTIF($AO$6:$AO$205,"&gt;"&amp;$AO194)+COUNTIF($AO$6:$AO194,$AO194))</f>
        <v/>
      </c>
      <c r="AQ194" s="78" t="str">
        <f>IF(OR($R194&lt;&gt;"OK",$AP194=""),"",INDEX('Buy list'!$G$5:$G$204,$AP194))</f>
        <v/>
      </c>
      <c r="AR194" s="78" t="str">
        <f>IF($R194&lt;&gt;"OK","",IF($AB194=0,0,MIN($AB194,CEILING(MAX(0,($F194*MAX(0,MIN((Setup!$C$6+1+Setup!$C$20),(Setup!$C$5-Setup!$C$7))-Setup!$C$4)+$F194*Setup!$C$8*MAX(0,MIN((Setup!$C$6+1+Setup!$C$20),Setup!$C$5)-MAX((Setup!$C$5-Setup!$C$7),Setup!$C$4))+$W194/4*MAX(0,MIN((Setup!$C$6+1+Setup!$C$20),Setup!$C$5+4)-MAX(Setup!$C$5,Setup!$C$4))+$F194*Setup!$C$14*MAX(0,(Setup!$C$6+1+Setup!$C$20)-MAX(Setup!$C$5+4,Setup!$C$4)))+$Y194-$K194-IF(AND($L194&lt;&gt;"",$L194&gt;0),IF($M194&lt;=Setup!$C$10,$L194,0),0)),IF(OR($P194="",$P194&lt;=0),1,$P194)))))</f>
        <v/>
      </c>
      <c r="AS194" s="96" t="str">
        <f>IF($R194&lt;&gt;"OK","",IF(AND($O194&lt;&gt;"Domestic",ISNUMBER(Setup!$C$22),Setup!$C$22&gt;Setup!$C$4),Setup!$C$22,Setup!$C$4))</f>
        <v/>
      </c>
      <c r="AT194" s="96" t="str">
        <f>IF($R194&lt;&gt;"OK","",IF($AB194=0,"",IF($O194="Domestic",$AG194,$AS194+$N194+Setup!$C$27+Setup!$C$11)))</f>
        <v/>
      </c>
    </row>
    <row r="195" ht="15" customHeight="1" s="46">
      <c r="A195" s="70" t="n"/>
      <c r="B195" s="70" t="n"/>
      <c r="C195" s="70" t="n"/>
      <c r="D195" s="85" t="n"/>
      <c r="E195" s="85" t="n"/>
      <c r="F195" s="86" t="n"/>
      <c r="G195" s="87" t="n"/>
      <c r="H195" s="88" t="n"/>
      <c r="I195" s="89" t="n"/>
      <c r="J195" s="90" t="n"/>
      <c r="K195" s="87" t="n"/>
      <c r="L195" s="87" t="n"/>
      <c r="M195" s="91" t="n"/>
      <c r="N195" s="92" t="n"/>
      <c r="O195" s="70" t="n"/>
      <c r="P195" s="92" t="n"/>
      <c r="Q195" s="87" t="n"/>
      <c r="R195" s="79" t="str">
        <f>IF($A195="","",IF($C195="","Missing: type",IF(OR($D195="",$D195&lt;=0),"Missing: unit cost",IF($E195="","Missing: unit price",IF($F195="","Missing: daily sales",IF($K195="","Missing: on hand",IF($N195="","Missing: production days",IF($O195="","Missing: freight mode",IF(ISNA(MATCH($O195,Setup!$B$25:$B$29,0)),"Unknown freight mode",IF(AND($L195&lt;&gt;"",$L195&gt;0,$M195=""),"Missing: on-order arrival date","OK"))))))))))</f>
        <v/>
      </c>
      <c r="S195" s="78" t="str">
        <f>IF($R195&lt;&gt;"OK","",IF($G195="","",ROUND($G195/IF(OR($H195="",$H195&lt;=0),4,$H195)*4,0)))</f>
        <v/>
      </c>
      <c r="T195" s="78" t="str">
        <f>IF($R195&lt;&gt;"OK","",ROUND(IF($G195="",$F195*4*Setup!$C$19,$G195/IF(OR($H195="",$H195&lt;=0),4,$H195)*4*(1+IF($I195="",Setup!$C$16,$I195)))*IF($J195="",1,$J195),0))</f>
        <v/>
      </c>
      <c r="U195" s="78" t="str">
        <f>IF($R195&lt;&gt;"OK","",ROUND($T195*Setup!$C$17,0))</f>
        <v/>
      </c>
      <c r="V195" s="78" t="str">
        <f>IF($R195&lt;&gt;"OK","",ROUND($T195*Setup!$C$18,0))</f>
        <v/>
      </c>
      <c r="W195" s="78" t="str">
        <f>IF($R195&lt;&gt;"OK","",IF($C195="Evergreen",$V195,IF($C195="Seasonal or new",$U195,$T195)))</f>
        <v/>
      </c>
      <c r="X195" s="78" t="str">
        <f>IF($R195&lt;&gt;"OK","",ROUND(($F195*MAX(0,MIN(Setup!$C$13+1,(Setup!$C$5-Setup!$C$7))-Setup!$C$4)+$F195*Setup!$C$8*MAX(0,MIN(Setup!$C$13+1,Setup!$C$5)-MAX((Setup!$C$5-Setup!$C$7),Setup!$C$4))+$W195/4*MAX(0,MIN(Setup!$C$13+1,Setup!$C$5+4)-MAX(Setup!$C$5,Setup!$C$4))+$F195*Setup!$C$14*MAX(0,Setup!$C$13+1-MAX(Setup!$C$5+4,Setup!$C$4))),0))</f>
        <v/>
      </c>
      <c r="Y195" s="78" t="str">
        <f>IF($R195&lt;&gt;"OK","",ROUND($F195*Setup!$C$15,0))</f>
        <v/>
      </c>
      <c r="Z195" s="78" t="str">
        <f>IF($R195&lt;&gt;"OK","",IF(AND($L195&lt;&gt;"",$L195&gt;0),IF($M195&lt;=Setup!$C$13,$L195,0),0))</f>
        <v/>
      </c>
      <c r="AA195" s="78" t="str">
        <f>IF($R195&lt;&gt;"OK","",MAX(0,$X195+$Y195-$K195-$Z195))</f>
        <v/>
      </c>
      <c r="AB195" s="78" t="str">
        <f>IF($R195&lt;&gt;"OK","",IF($AA195=0,0,CEILING(MAX($AA195,IF($Q195="",0,$Q195)),IF(OR($P195="",$P195&lt;=0),1,$P195))))</f>
        <v/>
      </c>
      <c r="AC195" s="78" t="str">
        <f>IF($R195&lt;&gt;"OK","",$AB195*$D195)</f>
        <v/>
      </c>
      <c r="AD195" s="93" t="str">
        <f>IF($R195&lt;&gt;"OK","",INDEX(Setup!$D$25:$D$29,MATCH($O195,Setup!$B$25:$B$29,0)))</f>
        <v/>
      </c>
      <c r="AE195" s="93" t="str">
        <f>IF($R195&lt;&gt;"OK","",$AD195-$N195)</f>
        <v/>
      </c>
      <c r="AF195" s="79" t="str">
        <f>IF($R195&lt;&gt;"OK","",IF($AB195=0,"No order needed",IF($AE195&gt;=$AS195,"Order by the deadline",IF(AND($O195&lt;&gt;"Domestic",Setup!$D$27-$N195&gt;=$AS195),"Late by this mode: fly it",IF(Setup!$D$28-$N195&gt;=$AS195,"Late: Express courier only",IF($AG195&lt;Setup!$C$5,"Tight: lands before Black Friday",IF(AND($O195&lt;&gt;"Domestic",$AT195&lt;Setup!$C$5),"Tight: by Air lands before Black Friday",IF($AS195+$N195+Setup!$C$28+Setup!$C$11&lt;Setup!$C$5,"Tight: by Express lands before Black Friday","Too late: ration"))))))))</f>
        <v/>
      </c>
      <c r="AG195" s="93" t="str">
        <f>IF($R195&lt;&gt;"OK","",IF($AB195=0,"",$AS195+$N195+INDEX(Setup!$C$25:$C$29,MATCH($O195,Setup!$B$25:$B$29,0))+Setup!$C$11))</f>
        <v/>
      </c>
      <c r="AH195" s="93" t="str">
        <f>IF($R195&lt;&gt;"OK","",IF($F195&lt;=0,"",INT(IF($K195&lt;($F195*MAX(0,(Setup!$C$5-Setup!$C$7)-Setup!$C$4)),Setup!$C$4+$K195/$F195,IF($K195&lt;($F195*MAX(0,(Setup!$C$5-Setup!$C$7)-Setup!$C$4))+($F195*Setup!$C$8*MAX(0,Setup!$C$5-MAX((Setup!$C$5-Setup!$C$7),Setup!$C$4))),MAX((Setup!$C$5-Setup!$C$7),Setup!$C$4)+($K195-($F195*MAX(0,(Setup!$C$5-Setup!$C$7)-Setup!$C$4)))/($F195*Setup!$C$8),IF(AND($W195&gt;0,$K195&lt;($F195*MAX(0,(Setup!$C$5-Setup!$C$7)-Setup!$C$4))+($F195*Setup!$C$8*MAX(0,Setup!$C$5-MAX((Setup!$C$5-Setup!$C$7),Setup!$C$4)))+($W195/4*MAX(0,Setup!$C$5+4-MAX(Setup!$C$5,Setup!$C$4)))),MAX(Setup!$C$5,Setup!$C$4)+($K195-($F195*MAX(0,(Setup!$C$5-Setup!$C$7)-Setup!$C$4))-($F195*Setup!$C$8*MAX(0,Setup!$C$5-MAX((Setup!$C$5-Setup!$C$7),Setup!$C$4))))/($W195/4),MAX(Setup!$C$5+4,Setup!$C$4)+($K195-($F195*MAX(0,(Setup!$C$5-Setup!$C$7)-Setup!$C$4))-($F195*Setup!$C$8*MAX(0,Setup!$C$5-MAX((Setup!$C$5-Setup!$C$7),Setup!$C$4)))-($W195/4*MAX(0,Setup!$C$5+4-MAX(Setup!$C$5,Setup!$C$4))))/($F195*Setup!$C$14)))))))</f>
        <v/>
      </c>
      <c r="AI195" s="79" t="str">
        <f>IF($R195&lt;&gt;"OK","",IF(AND($L195&lt;&gt;"",$L195&gt;0,ISNUMBER($AH195),$M195&gt;$AH195),"Runs out before the incoming delivery arrives",IF($AB195=0,"OK",IF($K195+IF(AND($L195&lt;&gt;"",$L195&gt;0),IF($M195&lt;=$AG195,$L195,0),0)&lt;($F195*MAX(0,MIN($AG195,(Setup!$C$5-Setup!$C$7))-Setup!$C$4)+$F195*Setup!$C$8*MAX(0,MIN($AG195,Setup!$C$5)-MAX((Setup!$C$5-Setup!$C$7),Setup!$C$4))+$W195/4*MAX(0,MIN($AG195,Setup!$C$5+4)-MAX(Setup!$C$5,Setup!$C$4))+$F195*Setup!$C$14*MAX(0,$AG195-MAX(Setup!$C$5+4,Setup!$C$4))),"Runs out before this order can land","OK"))))</f>
        <v/>
      </c>
      <c r="AJ195" s="78" t="str">
        <f>IF($R195&lt;&gt;"OK","",IF($AB195=0,0,IF($AL195="Too slow: send it all fast",$AB195,$AR195)))</f>
        <v/>
      </c>
      <c r="AK195" s="78" t="str">
        <f>IF($R195&lt;&gt;"OK","",$AB195-$AJ195)</f>
        <v/>
      </c>
      <c r="AL195" s="78" t="str">
        <f>IF($R195&lt;&gt;"OK","",IF($AB195=0,"",IF($AB195-$AR195=0,"Nothing left over",IF($O195="Domestic",IF($AG195&lt;=Setup!$C$6+Setup!$C$20+1,"Later units can go by Domestic","Too slow: send it all fast"),IF($AS195+$N195+Setup!$C$25+Setup!$C$11&lt;=Setup!$C$6+Setup!$C$20+1,"Later units can go by Ocean long",IF($AS195+$N195+Setup!$C$26+Setup!$C$11&lt;=Setup!$C$6+Setup!$C$20+1,"Later units can go by Ocean short",IF($AS195+$N195+Setup!$C$27+Setup!$C$11&lt;=Setup!$C$6+Setup!$C$20+1,"Later units can go by Air",IF($AS195+$N195+Setup!$C$28+Setup!$C$11&lt;=Setup!$C$6+Setup!$C$20+1,"Later units can go by Express","Too slow: send it all fast"))))))))</f>
        <v/>
      </c>
      <c r="AM195" s="94" t="str">
        <f>IF($R195&lt;&gt;"OK","",$E195-$D195)</f>
        <v/>
      </c>
      <c r="AN195" s="95" t="str">
        <f>IF($R195&lt;&gt;"OK","",($E195-$D195)/$D195)</f>
        <v/>
      </c>
      <c r="AO195" s="95" t="str">
        <f>IF($R195&lt;&gt;"OK","",IF($AB195&gt;0,$AN195+IF($C195="Evergreen",1000,0),""))</f>
        <v/>
      </c>
      <c r="AP195" s="78" t="str">
        <f>IF(OR($R195&lt;&gt;"OK",$AO195=""),"",COUNTIF($AO$6:$AO$205,"&gt;"&amp;$AO195)+COUNTIF($AO$6:$AO195,$AO195))</f>
        <v/>
      </c>
      <c r="AQ195" s="78" t="str">
        <f>IF(OR($R195&lt;&gt;"OK",$AP195=""),"",INDEX('Buy list'!$G$5:$G$204,$AP195))</f>
        <v/>
      </c>
      <c r="AR195" s="78" t="str">
        <f>IF($R195&lt;&gt;"OK","",IF($AB195=0,0,MIN($AB195,CEILING(MAX(0,($F195*MAX(0,MIN((Setup!$C$6+1+Setup!$C$20),(Setup!$C$5-Setup!$C$7))-Setup!$C$4)+$F195*Setup!$C$8*MAX(0,MIN((Setup!$C$6+1+Setup!$C$20),Setup!$C$5)-MAX((Setup!$C$5-Setup!$C$7),Setup!$C$4))+$W195/4*MAX(0,MIN((Setup!$C$6+1+Setup!$C$20),Setup!$C$5+4)-MAX(Setup!$C$5,Setup!$C$4))+$F195*Setup!$C$14*MAX(0,(Setup!$C$6+1+Setup!$C$20)-MAX(Setup!$C$5+4,Setup!$C$4)))+$Y195-$K195-IF(AND($L195&lt;&gt;"",$L195&gt;0),IF($M195&lt;=Setup!$C$10,$L195,0),0)),IF(OR($P195="",$P195&lt;=0),1,$P195)))))</f>
        <v/>
      </c>
      <c r="AS195" s="96" t="str">
        <f>IF($R195&lt;&gt;"OK","",IF(AND($O195&lt;&gt;"Domestic",ISNUMBER(Setup!$C$22),Setup!$C$22&gt;Setup!$C$4),Setup!$C$22,Setup!$C$4))</f>
        <v/>
      </c>
      <c r="AT195" s="96" t="str">
        <f>IF($R195&lt;&gt;"OK","",IF($AB195=0,"",IF($O195="Domestic",$AG195,$AS195+$N195+Setup!$C$27+Setup!$C$11)))</f>
        <v/>
      </c>
    </row>
    <row r="196" ht="15" customHeight="1" s="46">
      <c r="A196" s="70" t="n"/>
      <c r="B196" s="70" t="n"/>
      <c r="C196" s="70" t="n"/>
      <c r="D196" s="85" t="n"/>
      <c r="E196" s="85" t="n"/>
      <c r="F196" s="86" t="n"/>
      <c r="G196" s="87" t="n"/>
      <c r="H196" s="88" t="n"/>
      <c r="I196" s="89" t="n"/>
      <c r="J196" s="90" t="n"/>
      <c r="K196" s="87" t="n"/>
      <c r="L196" s="87" t="n"/>
      <c r="M196" s="91" t="n"/>
      <c r="N196" s="92" t="n"/>
      <c r="O196" s="70" t="n"/>
      <c r="P196" s="92" t="n"/>
      <c r="Q196" s="87" t="n"/>
      <c r="R196" s="79" t="str">
        <f>IF($A196="","",IF($C196="","Missing: type",IF(OR($D196="",$D196&lt;=0),"Missing: unit cost",IF($E196="","Missing: unit price",IF($F196="","Missing: daily sales",IF($K196="","Missing: on hand",IF($N196="","Missing: production days",IF($O196="","Missing: freight mode",IF(ISNA(MATCH($O196,Setup!$B$25:$B$29,0)),"Unknown freight mode",IF(AND($L196&lt;&gt;"",$L196&gt;0,$M196=""),"Missing: on-order arrival date","OK"))))))))))</f>
        <v/>
      </c>
      <c r="S196" s="78" t="str">
        <f>IF($R196&lt;&gt;"OK","",IF($G196="","",ROUND($G196/IF(OR($H196="",$H196&lt;=0),4,$H196)*4,0)))</f>
        <v/>
      </c>
      <c r="T196" s="78" t="str">
        <f>IF($R196&lt;&gt;"OK","",ROUND(IF($G196="",$F196*4*Setup!$C$19,$G196/IF(OR($H196="",$H196&lt;=0),4,$H196)*4*(1+IF($I196="",Setup!$C$16,$I196)))*IF($J196="",1,$J196),0))</f>
        <v/>
      </c>
      <c r="U196" s="78" t="str">
        <f>IF($R196&lt;&gt;"OK","",ROUND($T196*Setup!$C$17,0))</f>
        <v/>
      </c>
      <c r="V196" s="78" t="str">
        <f>IF($R196&lt;&gt;"OK","",ROUND($T196*Setup!$C$18,0))</f>
        <v/>
      </c>
      <c r="W196" s="78" t="str">
        <f>IF($R196&lt;&gt;"OK","",IF($C196="Evergreen",$V196,IF($C196="Seasonal or new",$U196,$T196)))</f>
        <v/>
      </c>
      <c r="X196" s="78" t="str">
        <f>IF($R196&lt;&gt;"OK","",ROUND(($F196*MAX(0,MIN(Setup!$C$13+1,(Setup!$C$5-Setup!$C$7))-Setup!$C$4)+$F196*Setup!$C$8*MAX(0,MIN(Setup!$C$13+1,Setup!$C$5)-MAX((Setup!$C$5-Setup!$C$7),Setup!$C$4))+$W196/4*MAX(0,MIN(Setup!$C$13+1,Setup!$C$5+4)-MAX(Setup!$C$5,Setup!$C$4))+$F196*Setup!$C$14*MAX(0,Setup!$C$13+1-MAX(Setup!$C$5+4,Setup!$C$4))),0))</f>
        <v/>
      </c>
      <c r="Y196" s="78" t="str">
        <f>IF($R196&lt;&gt;"OK","",ROUND($F196*Setup!$C$15,0))</f>
        <v/>
      </c>
      <c r="Z196" s="78" t="str">
        <f>IF($R196&lt;&gt;"OK","",IF(AND($L196&lt;&gt;"",$L196&gt;0),IF($M196&lt;=Setup!$C$13,$L196,0),0))</f>
        <v/>
      </c>
      <c r="AA196" s="78" t="str">
        <f>IF($R196&lt;&gt;"OK","",MAX(0,$X196+$Y196-$K196-$Z196))</f>
        <v/>
      </c>
      <c r="AB196" s="78" t="str">
        <f>IF($R196&lt;&gt;"OK","",IF($AA196=0,0,CEILING(MAX($AA196,IF($Q196="",0,$Q196)),IF(OR($P196="",$P196&lt;=0),1,$P196))))</f>
        <v/>
      </c>
      <c r="AC196" s="78" t="str">
        <f>IF($R196&lt;&gt;"OK","",$AB196*$D196)</f>
        <v/>
      </c>
      <c r="AD196" s="93" t="str">
        <f>IF($R196&lt;&gt;"OK","",INDEX(Setup!$D$25:$D$29,MATCH($O196,Setup!$B$25:$B$29,0)))</f>
        <v/>
      </c>
      <c r="AE196" s="93" t="str">
        <f>IF($R196&lt;&gt;"OK","",$AD196-$N196)</f>
        <v/>
      </c>
      <c r="AF196" s="79" t="str">
        <f>IF($R196&lt;&gt;"OK","",IF($AB196=0,"No order needed",IF($AE196&gt;=$AS196,"Order by the deadline",IF(AND($O196&lt;&gt;"Domestic",Setup!$D$27-$N196&gt;=$AS196),"Late by this mode: fly it",IF(Setup!$D$28-$N196&gt;=$AS196,"Late: Express courier only",IF($AG196&lt;Setup!$C$5,"Tight: lands before Black Friday",IF(AND($O196&lt;&gt;"Domestic",$AT196&lt;Setup!$C$5),"Tight: by Air lands before Black Friday",IF($AS196+$N196+Setup!$C$28+Setup!$C$11&lt;Setup!$C$5,"Tight: by Express lands before Black Friday","Too late: ration"))))))))</f>
        <v/>
      </c>
      <c r="AG196" s="93" t="str">
        <f>IF($R196&lt;&gt;"OK","",IF($AB196=0,"",$AS196+$N196+INDEX(Setup!$C$25:$C$29,MATCH($O196,Setup!$B$25:$B$29,0))+Setup!$C$11))</f>
        <v/>
      </c>
      <c r="AH196" s="93" t="str">
        <f>IF($R196&lt;&gt;"OK","",IF($F196&lt;=0,"",INT(IF($K196&lt;($F196*MAX(0,(Setup!$C$5-Setup!$C$7)-Setup!$C$4)),Setup!$C$4+$K196/$F196,IF($K196&lt;($F196*MAX(0,(Setup!$C$5-Setup!$C$7)-Setup!$C$4))+($F196*Setup!$C$8*MAX(0,Setup!$C$5-MAX((Setup!$C$5-Setup!$C$7),Setup!$C$4))),MAX((Setup!$C$5-Setup!$C$7),Setup!$C$4)+($K196-($F196*MAX(0,(Setup!$C$5-Setup!$C$7)-Setup!$C$4)))/($F196*Setup!$C$8),IF(AND($W196&gt;0,$K196&lt;($F196*MAX(0,(Setup!$C$5-Setup!$C$7)-Setup!$C$4))+($F196*Setup!$C$8*MAX(0,Setup!$C$5-MAX((Setup!$C$5-Setup!$C$7),Setup!$C$4)))+($W196/4*MAX(0,Setup!$C$5+4-MAX(Setup!$C$5,Setup!$C$4)))),MAX(Setup!$C$5,Setup!$C$4)+($K196-($F196*MAX(0,(Setup!$C$5-Setup!$C$7)-Setup!$C$4))-($F196*Setup!$C$8*MAX(0,Setup!$C$5-MAX((Setup!$C$5-Setup!$C$7),Setup!$C$4))))/($W196/4),MAX(Setup!$C$5+4,Setup!$C$4)+($K196-($F196*MAX(0,(Setup!$C$5-Setup!$C$7)-Setup!$C$4))-($F196*Setup!$C$8*MAX(0,Setup!$C$5-MAX((Setup!$C$5-Setup!$C$7),Setup!$C$4)))-($W196/4*MAX(0,Setup!$C$5+4-MAX(Setup!$C$5,Setup!$C$4))))/($F196*Setup!$C$14)))))))</f>
        <v/>
      </c>
      <c r="AI196" s="79" t="str">
        <f>IF($R196&lt;&gt;"OK","",IF(AND($L196&lt;&gt;"",$L196&gt;0,ISNUMBER($AH196),$M196&gt;$AH196),"Runs out before the incoming delivery arrives",IF($AB196=0,"OK",IF($K196+IF(AND($L196&lt;&gt;"",$L196&gt;0),IF($M196&lt;=$AG196,$L196,0),0)&lt;($F196*MAX(0,MIN($AG196,(Setup!$C$5-Setup!$C$7))-Setup!$C$4)+$F196*Setup!$C$8*MAX(0,MIN($AG196,Setup!$C$5)-MAX((Setup!$C$5-Setup!$C$7),Setup!$C$4))+$W196/4*MAX(0,MIN($AG196,Setup!$C$5+4)-MAX(Setup!$C$5,Setup!$C$4))+$F196*Setup!$C$14*MAX(0,$AG196-MAX(Setup!$C$5+4,Setup!$C$4))),"Runs out before this order can land","OK"))))</f>
        <v/>
      </c>
      <c r="AJ196" s="78" t="str">
        <f>IF($R196&lt;&gt;"OK","",IF($AB196=0,0,IF($AL196="Too slow: send it all fast",$AB196,$AR196)))</f>
        <v/>
      </c>
      <c r="AK196" s="78" t="str">
        <f>IF($R196&lt;&gt;"OK","",$AB196-$AJ196)</f>
        <v/>
      </c>
      <c r="AL196" s="78" t="str">
        <f>IF($R196&lt;&gt;"OK","",IF($AB196=0,"",IF($AB196-$AR196=0,"Nothing left over",IF($O196="Domestic",IF($AG196&lt;=Setup!$C$6+Setup!$C$20+1,"Later units can go by Domestic","Too slow: send it all fast"),IF($AS196+$N196+Setup!$C$25+Setup!$C$11&lt;=Setup!$C$6+Setup!$C$20+1,"Later units can go by Ocean long",IF($AS196+$N196+Setup!$C$26+Setup!$C$11&lt;=Setup!$C$6+Setup!$C$20+1,"Later units can go by Ocean short",IF($AS196+$N196+Setup!$C$27+Setup!$C$11&lt;=Setup!$C$6+Setup!$C$20+1,"Later units can go by Air",IF($AS196+$N196+Setup!$C$28+Setup!$C$11&lt;=Setup!$C$6+Setup!$C$20+1,"Later units can go by Express","Too slow: send it all fast"))))))))</f>
        <v/>
      </c>
      <c r="AM196" s="94" t="str">
        <f>IF($R196&lt;&gt;"OK","",$E196-$D196)</f>
        <v/>
      </c>
      <c r="AN196" s="95" t="str">
        <f>IF($R196&lt;&gt;"OK","",($E196-$D196)/$D196)</f>
        <v/>
      </c>
      <c r="AO196" s="95" t="str">
        <f>IF($R196&lt;&gt;"OK","",IF($AB196&gt;0,$AN196+IF($C196="Evergreen",1000,0),""))</f>
        <v/>
      </c>
      <c r="AP196" s="78" t="str">
        <f>IF(OR($R196&lt;&gt;"OK",$AO196=""),"",COUNTIF($AO$6:$AO$205,"&gt;"&amp;$AO196)+COUNTIF($AO$6:$AO196,$AO196))</f>
        <v/>
      </c>
      <c r="AQ196" s="78" t="str">
        <f>IF(OR($R196&lt;&gt;"OK",$AP196=""),"",INDEX('Buy list'!$G$5:$G$204,$AP196))</f>
        <v/>
      </c>
      <c r="AR196" s="78" t="str">
        <f>IF($R196&lt;&gt;"OK","",IF($AB196=0,0,MIN($AB196,CEILING(MAX(0,($F196*MAX(0,MIN((Setup!$C$6+1+Setup!$C$20),(Setup!$C$5-Setup!$C$7))-Setup!$C$4)+$F196*Setup!$C$8*MAX(0,MIN((Setup!$C$6+1+Setup!$C$20),Setup!$C$5)-MAX((Setup!$C$5-Setup!$C$7),Setup!$C$4))+$W196/4*MAX(0,MIN((Setup!$C$6+1+Setup!$C$20),Setup!$C$5+4)-MAX(Setup!$C$5,Setup!$C$4))+$F196*Setup!$C$14*MAX(0,(Setup!$C$6+1+Setup!$C$20)-MAX(Setup!$C$5+4,Setup!$C$4)))+$Y196-$K196-IF(AND($L196&lt;&gt;"",$L196&gt;0),IF($M196&lt;=Setup!$C$10,$L196,0),0)),IF(OR($P196="",$P196&lt;=0),1,$P196)))))</f>
        <v/>
      </c>
      <c r="AS196" s="96" t="str">
        <f>IF($R196&lt;&gt;"OK","",IF(AND($O196&lt;&gt;"Domestic",ISNUMBER(Setup!$C$22),Setup!$C$22&gt;Setup!$C$4),Setup!$C$22,Setup!$C$4))</f>
        <v/>
      </c>
      <c r="AT196" s="96" t="str">
        <f>IF($R196&lt;&gt;"OK","",IF($AB196=0,"",IF($O196="Domestic",$AG196,$AS196+$N196+Setup!$C$27+Setup!$C$11)))</f>
        <v/>
      </c>
    </row>
    <row r="197" ht="15" customHeight="1" s="46">
      <c r="A197" s="70" t="n"/>
      <c r="B197" s="70" t="n"/>
      <c r="C197" s="70" t="n"/>
      <c r="D197" s="85" t="n"/>
      <c r="E197" s="85" t="n"/>
      <c r="F197" s="86" t="n"/>
      <c r="G197" s="87" t="n"/>
      <c r="H197" s="88" t="n"/>
      <c r="I197" s="89" t="n"/>
      <c r="J197" s="90" t="n"/>
      <c r="K197" s="87" t="n"/>
      <c r="L197" s="87" t="n"/>
      <c r="M197" s="91" t="n"/>
      <c r="N197" s="92" t="n"/>
      <c r="O197" s="70" t="n"/>
      <c r="P197" s="92" t="n"/>
      <c r="Q197" s="87" t="n"/>
      <c r="R197" s="79" t="str">
        <f>IF($A197="","",IF($C197="","Missing: type",IF(OR($D197="",$D197&lt;=0),"Missing: unit cost",IF($E197="","Missing: unit price",IF($F197="","Missing: daily sales",IF($K197="","Missing: on hand",IF($N197="","Missing: production days",IF($O197="","Missing: freight mode",IF(ISNA(MATCH($O197,Setup!$B$25:$B$29,0)),"Unknown freight mode",IF(AND($L197&lt;&gt;"",$L197&gt;0,$M197=""),"Missing: on-order arrival date","OK"))))))))))</f>
        <v/>
      </c>
      <c r="S197" s="78" t="str">
        <f>IF($R197&lt;&gt;"OK","",IF($G197="","",ROUND($G197/IF(OR($H197="",$H197&lt;=0),4,$H197)*4,0)))</f>
        <v/>
      </c>
      <c r="T197" s="78" t="str">
        <f>IF($R197&lt;&gt;"OK","",ROUND(IF($G197="",$F197*4*Setup!$C$19,$G197/IF(OR($H197="",$H197&lt;=0),4,$H197)*4*(1+IF($I197="",Setup!$C$16,$I197)))*IF($J197="",1,$J197),0))</f>
        <v/>
      </c>
      <c r="U197" s="78" t="str">
        <f>IF($R197&lt;&gt;"OK","",ROUND($T197*Setup!$C$17,0))</f>
        <v/>
      </c>
      <c r="V197" s="78" t="str">
        <f>IF($R197&lt;&gt;"OK","",ROUND($T197*Setup!$C$18,0))</f>
        <v/>
      </c>
      <c r="W197" s="78" t="str">
        <f>IF($R197&lt;&gt;"OK","",IF($C197="Evergreen",$V197,IF($C197="Seasonal or new",$U197,$T197)))</f>
        <v/>
      </c>
      <c r="X197" s="78" t="str">
        <f>IF($R197&lt;&gt;"OK","",ROUND(($F197*MAX(0,MIN(Setup!$C$13+1,(Setup!$C$5-Setup!$C$7))-Setup!$C$4)+$F197*Setup!$C$8*MAX(0,MIN(Setup!$C$13+1,Setup!$C$5)-MAX((Setup!$C$5-Setup!$C$7),Setup!$C$4))+$W197/4*MAX(0,MIN(Setup!$C$13+1,Setup!$C$5+4)-MAX(Setup!$C$5,Setup!$C$4))+$F197*Setup!$C$14*MAX(0,Setup!$C$13+1-MAX(Setup!$C$5+4,Setup!$C$4))),0))</f>
        <v/>
      </c>
      <c r="Y197" s="78" t="str">
        <f>IF($R197&lt;&gt;"OK","",ROUND($F197*Setup!$C$15,0))</f>
        <v/>
      </c>
      <c r="Z197" s="78" t="str">
        <f>IF($R197&lt;&gt;"OK","",IF(AND($L197&lt;&gt;"",$L197&gt;0),IF($M197&lt;=Setup!$C$13,$L197,0),0))</f>
        <v/>
      </c>
      <c r="AA197" s="78" t="str">
        <f>IF($R197&lt;&gt;"OK","",MAX(0,$X197+$Y197-$K197-$Z197))</f>
        <v/>
      </c>
      <c r="AB197" s="78" t="str">
        <f>IF($R197&lt;&gt;"OK","",IF($AA197=0,0,CEILING(MAX($AA197,IF($Q197="",0,$Q197)),IF(OR($P197="",$P197&lt;=0),1,$P197))))</f>
        <v/>
      </c>
      <c r="AC197" s="78" t="str">
        <f>IF($R197&lt;&gt;"OK","",$AB197*$D197)</f>
        <v/>
      </c>
      <c r="AD197" s="93" t="str">
        <f>IF($R197&lt;&gt;"OK","",INDEX(Setup!$D$25:$D$29,MATCH($O197,Setup!$B$25:$B$29,0)))</f>
        <v/>
      </c>
      <c r="AE197" s="93" t="str">
        <f>IF($R197&lt;&gt;"OK","",$AD197-$N197)</f>
        <v/>
      </c>
      <c r="AF197" s="79" t="str">
        <f>IF($R197&lt;&gt;"OK","",IF($AB197=0,"No order needed",IF($AE197&gt;=$AS197,"Order by the deadline",IF(AND($O197&lt;&gt;"Domestic",Setup!$D$27-$N197&gt;=$AS197),"Late by this mode: fly it",IF(Setup!$D$28-$N197&gt;=$AS197,"Late: Express courier only",IF($AG197&lt;Setup!$C$5,"Tight: lands before Black Friday",IF(AND($O197&lt;&gt;"Domestic",$AT197&lt;Setup!$C$5),"Tight: by Air lands before Black Friday",IF($AS197+$N197+Setup!$C$28+Setup!$C$11&lt;Setup!$C$5,"Tight: by Express lands before Black Friday","Too late: ration"))))))))</f>
        <v/>
      </c>
      <c r="AG197" s="93" t="str">
        <f>IF($R197&lt;&gt;"OK","",IF($AB197=0,"",$AS197+$N197+INDEX(Setup!$C$25:$C$29,MATCH($O197,Setup!$B$25:$B$29,0))+Setup!$C$11))</f>
        <v/>
      </c>
      <c r="AH197" s="93" t="str">
        <f>IF($R197&lt;&gt;"OK","",IF($F197&lt;=0,"",INT(IF($K197&lt;($F197*MAX(0,(Setup!$C$5-Setup!$C$7)-Setup!$C$4)),Setup!$C$4+$K197/$F197,IF($K197&lt;($F197*MAX(0,(Setup!$C$5-Setup!$C$7)-Setup!$C$4))+($F197*Setup!$C$8*MAX(0,Setup!$C$5-MAX((Setup!$C$5-Setup!$C$7),Setup!$C$4))),MAX((Setup!$C$5-Setup!$C$7),Setup!$C$4)+($K197-($F197*MAX(0,(Setup!$C$5-Setup!$C$7)-Setup!$C$4)))/($F197*Setup!$C$8),IF(AND($W197&gt;0,$K197&lt;($F197*MAX(0,(Setup!$C$5-Setup!$C$7)-Setup!$C$4))+($F197*Setup!$C$8*MAX(0,Setup!$C$5-MAX((Setup!$C$5-Setup!$C$7),Setup!$C$4)))+($W197/4*MAX(0,Setup!$C$5+4-MAX(Setup!$C$5,Setup!$C$4)))),MAX(Setup!$C$5,Setup!$C$4)+($K197-($F197*MAX(0,(Setup!$C$5-Setup!$C$7)-Setup!$C$4))-($F197*Setup!$C$8*MAX(0,Setup!$C$5-MAX((Setup!$C$5-Setup!$C$7),Setup!$C$4))))/($W197/4),MAX(Setup!$C$5+4,Setup!$C$4)+($K197-($F197*MAX(0,(Setup!$C$5-Setup!$C$7)-Setup!$C$4))-($F197*Setup!$C$8*MAX(0,Setup!$C$5-MAX((Setup!$C$5-Setup!$C$7),Setup!$C$4)))-($W197/4*MAX(0,Setup!$C$5+4-MAX(Setup!$C$5,Setup!$C$4))))/($F197*Setup!$C$14)))))))</f>
        <v/>
      </c>
      <c r="AI197" s="79" t="str">
        <f>IF($R197&lt;&gt;"OK","",IF(AND($L197&lt;&gt;"",$L197&gt;0,ISNUMBER($AH197),$M197&gt;$AH197),"Runs out before the incoming delivery arrives",IF($AB197=0,"OK",IF($K197+IF(AND($L197&lt;&gt;"",$L197&gt;0),IF($M197&lt;=$AG197,$L197,0),0)&lt;($F197*MAX(0,MIN($AG197,(Setup!$C$5-Setup!$C$7))-Setup!$C$4)+$F197*Setup!$C$8*MAX(0,MIN($AG197,Setup!$C$5)-MAX((Setup!$C$5-Setup!$C$7),Setup!$C$4))+$W197/4*MAX(0,MIN($AG197,Setup!$C$5+4)-MAX(Setup!$C$5,Setup!$C$4))+$F197*Setup!$C$14*MAX(0,$AG197-MAX(Setup!$C$5+4,Setup!$C$4))),"Runs out before this order can land","OK"))))</f>
        <v/>
      </c>
      <c r="AJ197" s="78" t="str">
        <f>IF($R197&lt;&gt;"OK","",IF($AB197=0,0,IF($AL197="Too slow: send it all fast",$AB197,$AR197)))</f>
        <v/>
      </c>
      <c r="AK197" s="78" t="str">
        <f>IF($R197&lt;&gt;"OK","",$AB197-$AJ197)</f>
        <v/>
      </c>
      <c r="AL197" s="78" t="str">
        <f>IF($R197&lt;&gt;"OK","",IF($AB197=0,"",IF($AB197-$AR197=0,"Nothing left over",IF($O197="Domestic",IF($AG197&lt;=Setup!$C$6+Setup!$C$20+1,"Later units can go by Domestic","Too slow: send it all fast"),IF($AS197+$N197+Setup!$C$25+Setup!$C$11&lt;=Setup!$C$6+Setup!$C$20+1,"Later units can go by Ocean long",IF($AS197+$N197+Setup!$C$26+Setup!$C$11&lt;=Setup!$C$6+Setup!$C$20+1,"Later units can go by Ocean short",IF($AS197+$N197+Setup!$C$27+Setup!$C$11&lt;=Setup!$C$6+Setup!$C$20+1,"Later units can go by Air",IF($AS197+$N197+Setup!$C$28+Setup!$C$11&lt;=Setup!$C$6+Setup!$C$20+1,"Later units can go by Express","Too slow: send it all fast"))))))))</f>
        <v/>
      </c>
      <c r="AM197" s="94" t="str">
        <f>IF($R197&lt;&gt;"OK","",$E197-$D197)</f>
        <v/>
      </c>
      <c r="AN197" s="95" t="str">
        <f>IF($R197&lt;&gt;"OK","",($E197-$D197)/$D197)</f>
        <v/>
      </c>
      <c r="AO197" s="95" t="str">
        <f>IF($R197&lt;&gt;"OK","",IF($AB197&gt;0,$AN197+IF($C197="Evergreen",1000,0),""))</f>
        <v/>
      </c>
      <c r="AP197" s="78" t="str">
        <f>IF(OR($R197&lt;&gt;"OK",$AO197=""),"",COUNTIF($AO$6:$AO$205,"&gt;"&amp;$AO197)+COUNTIF($AO$6:$AO197,$AO197))</f>
        <v/>
      </c>
      <c r="AQ197" s="78" t="str">
        <f>IF(OR($R197&lt;&gt;"OK",$AP197=""),"",INDEX('Buy list'!$G$5:$G$204,$AP197))</f>
        <v/>
      </c>
      <c r="AR197" s="78" t="str">
        <f>IF($R197&lt;&gt;"OK","",IF($AB197=0,0,MIN($AB197,CEILING(MAX(0,($F197*MAX(0,MIN((Setup!$C$6+1+Setup!$C$20),(Setup!$C$5-Setup!$C$7))-Setup!$C$4)+$F197*Setup!$C$8*MAX(0,MIN((Setup!$C$6+1+Setup!$C$20),Setup!$C$5)-MAX((Setup!$C$5-Setup!$C$7),Setup!$C$4))+$W197/4*MAX(0,MIN((Setup!$C$6+1+Setup!$C$20),Setup!$C$5+4)-MAX(Setup!$C$5,Setup!$C$4))+$F197*Setup!$C$14*MAX(0,(Setup!$C$6+1+Setup!$C$20)-MAX(Setup!$C$5+4,Setup!$C$4)))+$Y197-$K197-IF(AND($L197&lt;&gt;"",$L197&gt;0),IF($M197&lt;=Setup!$C$10,$L197,0),0)),IF(OR($P197="",$P197&lt;=0),1,$P197)))))</f>
        <v/>
      </c>
      <c r="AS197" s="96" t="str">
        <f>IF($R197&lt;&gt;"OK","",IF(AND($O197&lt;&gt;"Domestic",ISNUMBER(Setup!$C$22),Setup!$C$22&gt;Setup!$C$4),Setup!$C$22,Setup!$C$4))</f>
        <v/>
      </c>
      <c r="AT197" s="96" t="str">
        <f>IF($R197&lt;&gt;"OK","",IF($AB197=0,"",IF($O197="Domestic",$AG197,$AS197+$N197+Setup!$C$27+Setup!$C$11)))</f>
        <v/>
      </c>
    </row>
    <row r="198" ht="15" customHeight="1" s="46">
      <c r="A198" s="70" t="n"/>
      <c r="B198" s="70" t="n"/>
      <c r="C198" s="70" t="n"/>
      <c r="D198" s="85" t="n"/>
      <c r="E198" s="85" t="n"/>
      <c r="F198" s="86" t="n"/>
      <c r="G198" s="87" t="n"/>
      <c r="H198" s="88" t="n"/>
      <c r="I198" s="89" t="n"/>
      <c r="J198" s="90" t="n"/>
      <c r="K198" s="87" t="n"/>
      <c r="L198" s="87" t="n"/>
      <c r="M198" s="91" t="n"/>
      <c r="N198" s="92" t="n"/>
      <c r="O198" s="70" t="n"/>
      <c r="P198" s="92" t="n"/>
      <c r="Q198" s="87" t="n"/>
      <c r="R198" s="79" t="str">
        <f>IF($A198="","",IF($C198="","Missing: type",IF(OR($D198="",$D198&lt;=0),"Missing: unit cost",IF($E198="","Missing: unit price",IF($F198="","Missing: daily sales",IF($K198="","Missing: on hand",IF($N198="","Missing: production days",IF($O198="","Missing: freight mode",IF(ISNA(MATCH($O198,Setup!$B$25:$B$29,0)),"Unknown freight mode",IF(AND($L198&lt;&gt;"",$L198&gt;0,$M198=""),"Missing: on-order arrival date","OK"))))))))))</f>
        <v/>
      </c>
      <c r="S198" s="78" t="str">
        <f>IF($R198&lt;&gt;"OK","",IF($G198="","",ROUND($G198/IF(OR($H198="",$H198&lt;=0),4,$H198)*4,0)))</f>
        <v/>
      </c>
      <c r="T198" s="78" t="str">
        <f>IF($R198&lt;&gt;"OK","",ROUND(IF($G198="",$F198*4*Setup!$C$19,$G198/IF(OR($H198="",$H198&lt;=0),4,$H198)*4*(1+IF($I198="",Setup!$C$16,$I198)))*IF($J198="",1,$J198),0))</f>
        <v/>
      </c>
      <c r="U198" s="78" t="str">
        <f>IF($R198&lt;&gt;"OK","",ROUND($T198*Setup!$C$17,0))</f>
        <v/>
      </c>
      <c r="V198" s="78" t="str">
        <f>IF($R198&lt;&gt;"OK","",ROUND($T198*Setup!$C$18,0))</f>
        <v/>
      </c>
      <c r="W198" s="78" t="str">
        <f>IF($R198&lt;&gt;"OK","",IF($C198="Evergreen",$V198,IF($C198="Seasonal or new",$U198,$T198)))</f>
        <v/>
      </c>
      <c r="X198" s="78" t="str">
        <f>IF($R198&lt;&gt;"OK","",ROUND(($F198*MAX(0,MIN(Setup!$C$13+1,(Setup!$C$5-Setup!$C$7))-Setup!$C$4)+$F198*Setup!$C$8*MAX(0,MIN(Setup!$C$13+1,Setup!$C$5)-MAX((Setup!$C$5-Setup!$C$7),Setup!$C$4))+$W198/4*MAX(0,MIN(Setup!$C$13+1,Setup!$C$5+4)-MAX(Setup!$C$5,Setup!$C$4))+$F198*Setup!$C$14*MAX(0,Setup!$C$13+1-MAX(Setup!$C$5+4,Setup!$C$4))),0))</f>
        <v/>
      </c>
      <c r="Y198" s="78" t="str">
        <f>IF($R198&lt;&gt;"OK","",ROUND($F198*Setup!$C$15,0))</f>
        <v/>
      </c>
      <c r="Z198" s="78" t="str">
        <f>IF($R198&lt;&gt;"OK","",IF(AND($L198&lt;&gt;"",$L198&gt;0),IF($M198&lt;=Setup!$C$13,$L198,0),0))</f>
        <v/>
      </c>
      <c r="AA198" s="78" t="str">
        <f>IF($R198&lt;&gt;"OK","",MAX(0,$X198+$Y198-$K198-$Z198))</f>
        <v/>
      </c>
      <c r="AB198" s="78" t="str">
        <f>IF($R198&lt;&gt;"OK","",IF($AA198=0,0,CEILING(MAX($AA198,IF($Q198="",0,$Q198)),IF(OR($P198="",$P198&lt;=0),1,$P198))))</f>
        <v/>
      </c>
      <c r="AC198" s="78" t="str">
        <f>IF($R198&lt;&gt;"OK","",$AB198*$D198)</f>
        <v/>
      </c>
      <c r="AD198" s="93" t="str">
        <f>IF($R198&lt;&gt;"OK","",INDEX(Setup!$D$25:$D$29,MATCH($O198,Setup!$B$25:$B$29,0)))</f>
        <v/>
      </c>
      <c r="AE198" s="93" t="str">
        <f>IF($R198&lt;&gt;"OK","",$AD198-$N198)</f>
        <v/>
      </c>
      <c r="AF198" s="79" t="str">
        <f>IF($R198&lt;&gt;"OK","",IF($AB198=0,"No order needed",IF($AE198&gt;=$AS198,"Order by the deadline",IF(AND($O198&lt;&gt;"Domestic",Setup!$D$27-$N198&gt;=$AS198),"Late by this mode: fly it",IF(Setup!$D$28-$N198&gt;=$AS198,"Late: Express courier only",IF($AG198&lt;Setup!$C$5,"Tight: lands before Black Friday",IF(AND($O198&lt;&gt;"Domestic",$AT198&lt;Setup!$C$5),"Tight: by Air lands before Black Friday",IF($AS198+$N198+Setup!$C$28+Setup!$C$11&lt;Setup!$C$5,"Tight: by Express lands before Black Friday","Too late: ration"))))))))</f>
        <v/>
      </c>
      <c r="AG198" s="93" t="str">
        <f>IF($R198&lt;&gt;"OK","",IF($AB198=0,"",$AS198+$N198+INDEX(Setup!$C$25:$C$29,MATCH($O198,Setup!$B$25:$B$29,0))+Setup!$C$11))</f>
        <v/>
      </c>
      <c r="AH198" s="93" t="str">
        <f>IF($R198&lt;&gt;"OK","",IF($F198&lt;=0,"",INT(IF($K198&lt;($F198*MAX(0,(Setup!$C$5-Setup!$C$7)-Setup!$C$4)),Setup!$C$4+$K198/$F198,IF($K198&lt;($F198*MAX(0,(Setup!$C$5-Setup!$C$7)-Setup!$C$4))+($F198*Setup!$C$8*MAX(0,Setup!$C$5-MAX((Setup!$C$5-Setup!$C$7),Setup!$C$4))),MAX((Setup!$C$5-Setup!$C$7),Setup!$C$4)+($K198-($F198*MAX(0,(Setup!$C$5-Setup!$C$7)-Setup!$C$4)))/($F198*Setup!$C$8),IF(AND($W198&gt;0,$K198&lt;($F198*MAX(0,(Setup!$C$5-Setup!$C$7)-Setup!$C$4))+($F198*Setup!$C$8*MAX(0,Setup!$C$5-MAX((Setup!$C$5-Setup!$C$7),Setup!$C$4)))+($W198/4*MAX(0,Setup!$C$5+4-MAX(Setup!$C$5,Setup!$C$4)))),MAX(Setup!$C$5,Setup!$C$4)+($K198-($F198*MAX(0,(Setup!$C$5-Setup!$C$7)-Setup!$C$4))-($F198*Setup!$C$8*MAX(0,Setup!$C$5-MAX((Setup!$C$5-Setup!$C$7),Setup!$C$4))))/($W198/4),MAX(Setup!$C$5+4,Setup!$C$4)+($K198-($F198*MAX(0,(Setup!$C$5-Setup!$C$7)-Setup!$C$4))-($F198*Setup!$C$8*MAX(0,Setup!$C$5-MAX((Setup!$C$5-Setup!$C$7),Setup!$C$4)))-($W198/4*MAX(0,Setup!$C$5+4-MAX(Setup!$C$5,Setup!$C$4))))/($F198*Setup!$C$14)))))))</f>
        <v/>
      </c>
      <c r="AI198" s="79" t="str">
        <f>IF($R198&lt;&gt;"OK","",IF(AND($L198&lt;&gt;"",$L198&gt;0,ISNUMBER($AH198),$M198&gt;$AH198),"Runs out before the incoming delivery arrives",IF($AB198=0,"OK",IF($K198+IF(AND($L198&lt;&gt;"",$L198&gt;0),IF($M198&lt;=$AG198,$L198,0),0)&lt;($F198*MAX(0,MIN($AG198,(Setup!$C$5-Setup!$C$7))-Setup!$C$4)+$F198*Setup!$C$8*MAX(0,MIN($AG198,Setup!$C$5)-MAX((Setup!$C$5-Setup!$C$7),Setup!$C$4))+$W198/4*MAX(0,MIN($AG198,Setup!$C$5+4)-MAX(Setup!$C$5,Setup!$C$4))+$F198*Setup!$C$14*MAX(0,$AG198-MAX(Setup!$C$5+4,Setup!$C$4))),"Runs out before this order can land","OK"))))</f>
        <v/>
      </c>
      <c r="AJ198" s="78" t="str">
        <f>IF($R198&lt;&gt;"OK","",IF($AB198=0,0,IF($AL198="Too slow: send it all fast",$AB198,$AR198)))</f>
        <v/>
      </c>
      <c r="AK198" s="78" t="str">
        <f>IF($R198&lt;&gt;"OK","",$AB198-$AJ198)</f>
        <v/>
      </c>
      <c r="AL198" s="78" t="str">
        <f>IF($R198&lt;&gt;"OK","",IF($AB198=0,"",IF($AB198-$AR198=0,"Nothing left over",IF($O198="Domestic",IF($AG198&lt;=Setup!$C$6+Setup!$C$20+1,"Later units can go by Domestic","Too slow: send it all fast"),IF($AS198+$N198+Setup!$C$25+Setup!$C$11&lt;=Setup!$C$6+Setup!$C$20+1,"Later units can go by Ocean long",IF($AS198+$N198+Setup!$C$26+Setup!$C$11&lt;=Setup!$C$6+Setup!$C$20+1,"Later units can go by Ocean short",IF($AS198+$N198+Setup!$C$27+Setup!$C$11&lt;=Setup!$C$6+Setup!$C$20+1,"Later units can go by Air",IF($AS198+$N198+Setup!$C$28+Setup!$C$11&lt;=Setup!$C$6+Setup!$C$20+1,"Later units can go by Express","Too slow: send it all fast"))))))))</f>
        <v/>
      </c>
      <c r="AM198" s="94" t="str">
        <f>IF($R198&lt;&gt;"OK","",$E198-$D198)</f>
        <v/>
      </c>
      <c r="AN198" s="95" t="str">
        <f>IF($R198&lt;&gt;"OK","",($E198-$D198)/$D198)</f>
        <v/>
      </c>
      <c r="AO198" s="95" t="str">
        <f>IF($R198&lt;&gt;"OK","",IF($AB198&gt;0,$AN198+IF($C198="Evergreen",1000,0),""))</f>
        <v/>
      </c>
      <c r="AP198" s="78" t="str">
        <f>IF(OR($R198&lt;&gt;"OK",$AO198=""),"",COUNTIF($AO$6:$AO$205,"&gt;"&amp;$AO198)+COUNTIF($AO$6:$AO198,$AO198))</f>
        <v/>
      </c>
      <c r="AQ198" s="78" t="str">
        <f>IF(OR($R198&lt;&gt;"OK",$AP198=""),"",INDEX('Buy list'!$G$5:$G$204,$AP198))</f>
        <v/>
      </c>
      <c r="AR198" s="78" t="str">
        <f>IF($R198&lt;&gt;"OK","",IF($AB198=0,0,MIN($AB198,CEILING(MAX(0,($F198*MAX(0,MIN((Setup!$C$6+1+Setup!$C$20),(Setup!$C$5-Setup!$C$7))-Setup!$C$4)+$F198*Setup!$C$8*MAX(0,MIN((Setup!$C$6+1+Setup!$C$20),Setup!$C$5)-MAX((Setup!$C$5-Setup!$C$7),Setup!$C$4))+$W198/4*MAX(0,MIN((Setup!$C$6+1+Setup!$C$20),Setup!$C$5+4)-MAX(Setup!$C$5,Setup!$C$4))+$F198*Setup!$C$14*MAX(0,(Setup!$C$6+1+Setup!$C$20)-MAX(Setup!$C$5+4,Setup!$C$4)))+$Y198-$K198-IF(AND($L198&lt;&gt;"",$L198&gt;0),IF($M198&lt;=Setup!$C$10,$L198,0),0)),IF(OR($P198="",$P198&lt;=0),1,$P198)))))</f>
        <v/>
      </c>
      <c r="AS198" s="96" t="str">
        <f>IF($R198&lt;&gt;"OK","",IF(AND($O198&lt;&gt;"Domestic",ISNUMBER(Setup!$C$22),Setup!$C$22&gt;Setup!$C$4),Setup!$C$22,Setup!$C$4))</f>
        <v/>
      </c>
      <c r="AT198" s="96" t="str">
        <f>IF($R198&lt;&gt;"OK","",IF($AB198=0,"",IF($O198="Domestic",$AG198,$AS198+$N198+Setup!$C$27+Setup!$C$11)))</f>
        <v/>
      </c>
    </row>
    <row r="199" ht="15" customHeight="1" s="46">
      <c r="A199" s="70" t="n"/>
      <c r="B199" s="70" t="n"/>
      <c r="C199" s="70" t="n"/>
      <c r="D199" s="85" t="n"/>
      <c r="E199" s="85" t="n"/>
      <c r="F199" s="86" t="n"/>
      <c r="G199" s="87" t="n"/>
      <c r="H199" s="88" t="n"/>
      <c r="I199" s="89" t="n"/>
      <c r="J199" s="90" t="n"/>
      <c r="K199" s="87" t="n"/>
      <c r="L199" s="87" t="n"/>
      <c r="M199" s="91" t="n"/>
      <c r="N199" s="92" t="n"/>
      <c r="O199" s="70" t="n"/>
      <c r="P199" s="92" t="n"/>
      <c r="Q199" s="87" t="n"/>
      <c r="R199" s="79" t="str">
        <f>IF($A199="","",IF($C199="","Missing: type",IF(OR($D199="",$D199&lt;=0),"Missing: unit cost",IF($E199="","Missing: unit price",IF($F199="","Missing: daily sales",IF($K199="","Missing: on hand",IF($N199="","Missing: production days",IF($O199="","Missing: freight mode",IF(ISNA(MATCH($O199,Setup!$B$25:$B$29,0)),"Unknown freight mode",IF(AND($L199&lt;&gt;"",$L199&gt;0,$M199=""),"Missing: on-order arrival date","OK"))))))))))</f>
        <v/>
      </c>
      <c r="S199" s="78" t="str">
        <f>IF($R199&lt;&gt;"OK","",IF($G199="","",ROUND($G199/IF(OR($H199="",$H199&lt;=0),4,$H199)*4,0)))</f>
        <v/>
      </c>
      <c r="T199" s="78" t="str">
        <f>IF($R199&lt;&gt;"OK","",ROUND(IF($G199="",$F199*4*Setup!$C$19,$G199/IF(OR($H199="",$H199&lt;=0),4,$H199)*4*(1+IF($I199="",Setup!$C$16,$I199)))*IF($J199="",1,$J199),0))</f>
        <v/>
      </c>
      <c r="U199" s="78" t="str">
        <f>IF($R199&lt;&gt;"OK","",ROUND($T199*Setup!$C$17,0))</f>
        <v/>
      </c>
      <c r="V199" s="78" t="str">
        <f>IF($R199&lt;&gt;"OK","",ROUND($T199*Setup!$C$18,0))</f>
        <v/>
      </c>
      <c r="W199" s="78" t="str">
        <f>IF($R199&lt;&gt;"OK","",IF($C199="Evergreen",$V199,IF($C199="Seasonal or new",$U199,$T199)))</f>
        <v/>
      </c>
      <c r="X199" s="78" t="str">
        <f>IF($R199&lt;&gt;"OK","",ROUND(($F199*MAX(0,MIN(Setup!$C$13+1,(Setup!$C$5-Setup!$C$7))-Setup!$C$4)+$F199*Setup!$C$8*MAX(0,MIN(Setup!$C$13+1,Setup!$C$5)-MAX((Setup!$C$5-Setup!$C$7),Setup!$C$4))+$W199/4*MAX(0,MIN(Setup!$C$13+1,Setup!$C$5+4)-MAX(Setup!$C$5,Setup!$C$4))+$F199*Setup!$C$14*MAX(0,Setup!$C$13+1-MAX(Setup!$C$5+4,Setup!$C$4))),0))</f>
        <v/>
      </c>
      <c r="Y199" s="78" t="str">
        <f>IF($R199&lt;&gt;"OK","",ROUND($F199*Setup!$C$15,0))</f>
        <v/>
      </c>
      <c r="Z199" s="78" t="str">
        <f>IF($R199&lt;&gt;"OK","",IF(AND($L199&lt;&gt;"",$L199&gt;0),IF($M199&lt;=Setup!$C$13,$L199,0),0))</f>
        <v/>
      </c>
      <c r="AA199" s="78" t="str">
        <f>IF($R199&lt;&gt;"OK","",MAX(0,$X199+$Y199-$K199-$Z199))</f>
        <v/>
      </c>
      <c r="AB199" s="78" t="str">
        <f>IF($R199&lt;&gt;"OK","",IF($AA199=0,0,CEILING(MAX($AA199,IF($Q199="",0,$Q199)),IF(OR($P199="",$P199&lt;=0),1,$P199))))</f>
        <v/>
      </c>
      <c r="AC199" s="78" t="str">
        <f>IF($R199&lt;&gt;"OK","",$AB199*$D199)</f>
        <v/>
      </c>
      <c r="AD199" s="93" t="str">
        <f>IF($R199&lt;&gt;"OK","",INDEX(Setup!$D$25:$D$29,MATCH($O199,Setup!$B$25:$B$29,0)))</f>
        <v/>
      </c>
      <c r="AE199" s="93" t="str">
        <f>IF($R199&lt;&gt;"OK","",$AD199-$N199)</f>
        <v/>
      </c>
      <c r="AF199" s="79" t="str">
        <f>IF($R199&lt;&gt;"OK","",IF($AB199=0,"No order needed",IF($AE199&gt;=$AS199,"Order by the deadline",IF(AND($O199&lt;&gt;"Domestic",Setup!$D$27-$N199&gt;=$AS199),"Late by this mode: fly it",IF(Setup!$D$28-$N199&gt;=$AS199,"Late: Express courier only",IF($AG199&lt;Setup!$C$5,"Tight: lands before Black Friday",IF(AND($O199&lt;&gt;"Domestic",$AT199&lt;Setup!$C$5),"Tight: by Air lands before Black Friday",IF($AS199+$N199+Setup!$C$28+Setup!$C$11&lt;Setup!$C$5,"Tight: by Express lands before Black Friday","Too late: ration"))))))))</f>
        <v/>
      </c>
      <c r="AG199" s="93" t="str">
        <f>IF($R199&lt;&gt;"OK","",IF($AB199=0,"",$AS199+$N199+INDEX(Setup!$C$25:$C$29,MATCH($O199,Setup!$B$25:$B$29,0))+Setup!$C$11))</f>
        <v/>
      </c>
      <c r="AH199" s="93" t="str">
        <f>IF($R199&lt;&gt;"OK","",IF($F199&lt;=0,"",INT(IF($K199&lt;($F199*MAX(0,(Setup!$C$5-Setup!$C$7)-Setup!$C$4)),Setup!$C$4+$K199/$F199,IF($K199&lt;($F199*MAX(0,(Setup!$C$5-Setup!$C$7)-Setup!$C$4))+($F199*Setup!$C$8*MAX(0,Setup!$C$5-MAX((Setup!$C$5-Setup!$C$7),Setup!$C$4))),MAX((Setup!$C$5-Setup!$C$7),Setup!$C$4)+($K199-($F199*MAX(0,(Setup!$C$5-Setup!$C$7)-Setup!$C$4)))/($F199*Setup!$C$8),IF(AND($W199&gt;0,$K199&lt;($F199*MAX(0,(Setup!$C$5-Setup!$C$7)-Setup!$C$4))+($F199*Setup!$C$8*MAX(0,Setup!$C$5-MAX((Setup!$C$5-Setup!$C$7),Setup!$C$4)))+($W199/4*MAX(0,Setup!$C$5+4-MAX(Setup!$C$5,Setup!$C$4)))),MAX(Setup!$C$5,Setup!$C$4)+($K199-($F199*MAX(0,(Setup!$C$5-Setup!$C$7)-Setup!$C$4))-($F199*Setup!$C$8*MAX(0,Setup!$C$5-MAX((Setup!$C$5-Setup!$C$7),Setup!$C$4))))/($W199/4),MAX(Setup!$C$5+4,Setup!$C$4)+($K199-($F199*MAX(0,(Setup!$C$5-Setup!$C$7)-Setup!$C$4))-($F199*Setup!$C$8*MAX(0,Setup!$C$5-MAX((Setup!$C$5-Setup!$C$7),Setup!$C$4)))-($W199/4*MAX(0,Setup!$C$5+4-MAX(Setup!$C$5,Setup!$C$4))))/($F199*Setup!$C$14)))))))</f>
        <v/>
      </c>
      <c r="AI199" s="79" t="str">
        <f>IF($R199&lt;&gt;"OK","",IF(AND($L199&lt;&gt;"",$L199&gt;0,ISNUMBER($AH199),$M199&gt;$AH199),"Runs out before the incoming delivery arrives",IF($AB199=0,"OK",IF($K199+IF(AND($L199&lt;&gt;"",$L199&gt;0),IF($M199&lt;=$AG199,$L199,0),0)&lt;($F199*MAX(0,MIN($AG199,(Setup!$C$5-Setup!$C$7))-Setup!$C$4)+$F199*Setup!$C$8*MAX(0,MIN($AG199,Setup!$C$5)-MAX((Setup!$C$5-Setup!$C$7),Setup!$C$4))+$W199/4*MAX(0,MIN($AG199,Setup!$C$5+4)-MAX(Setup!$C$5,Setup!$C$4))+$F199*Setup!$C$14*MAX(0,$AG199-MAX(Setup!$C$5+4,Setup!$C$4))),"Runs out before this order can land","OK"))))</f>
        <v/>
      </c>
      <c r="AJ199" s="78" t="str">
        <f>IF($R199&lt;&gt;"OK","",IF($AB199=0,0,IF($AL199="Too slow: send it all fast",$AB199,$AR199)))</f>
        <v/>
      </c>
      <c r="AK199" s="78" t="str">
        <f>IF($R199&lt;&gt;"OK","",$AB199-$AJ199)</f>
        <v/>
      </c>
      <c r="AL199" s="78" t="str">
        <f>IF($R199&lt;&gt;"OK","",IF($AB199=0,"",IF($AB199-$AR199=0,"Nothing left over",IF($O199="Domestic",IF($AG199&lt;=Setup!$C$6+Setup!$C$20+1,"Later units can go by Domestic","Too slow: send it all fast"),IF($AS199+$N199+Setup!$C$25+Setup!$C$11&lt;=Setup!$C$6+Setup!$C$20+1,"Later units can go by Ocean long",IF($AS199+$N199+Setup!$C$26+Setup!$C$11&lt;=Setup!$C$6+Setup!$C$20+1,"Later units can go by Ocean short",IF($AS199+$N199+Setup!$C$27+Setup!$C$11&lt;=Setup!$C$6+Setup!$C$20+1,"Later units can go by Air",IF($AS199+$N199+Setup!$C$28+Setup!$C$11&lt;=Setup!$C$6+Setup!$C$20+1,"Later units can go by Express","Too slow: send it all fast"))))))))</f>
        <v/>
      </c>
      <c r="AM199" s="94" t="str">
        <f>IF($R199&lt;&gt;"OK","",$E199-$D199)</f>
        <v/>
      </c>
      <c r="AN199" s="95" t="str">
        <f>IF($R199&lt;&gt;"OK","",($E199-$D199)/$D199)</f>
        <v/>
      </c>
      <c r="AO199" s="95" t="str">
        <f>IF($R199&lt;&gt;"OK","",IF($AB199&gt;0,$AN199+IF($C199="Evergreen",1000,0),""))</f>
        <v/>
      </c>
      <c r="AP199" s="78" t="str">
        <f>IF(OR($R199&lt;&gt;"OK",$AO199=""),"",COUNTIF($AO$6:$AO$205,"&gt;"&amp;$AO199)+COUNTIF($AO$6:$AO199,$AO199))</f>
        <v/>
      </c>
      <c r="AQ199" s="78" t="str">
        <f>IF(OR($R199&lt;&gt;"OK",$AP199=""),"",INDEX('Buy list'!$G$5:$G$204,$AP199))</f>
        <v/>
      </c>
      <c r="AR199" s="78" t="str">
        <f>IF($R199&lt;&gt;"OK","",IF($AB199=0,0,MIN($AB199,CEILING(MAX(0,($F199*MAX(0,MIN((Setup!$C$6+1+Setup!$C$20),(Setup!$C$5-Setup!$C$7))-Setup!$C$4)+$F199*Setup!$C$8*MAX(0,MIN((Setup!$C$6+1+Setup!$C$20),Setup!$C$5)-MAX((Setup!$C$5-Setup!$C$7),Setup!$C$4))+$W199/4*MAX(0,MIN((Setup!$C$6+1+Setup!$C$20),Setup!$C$5+4)-MAX(Setup!$C$5,Setup!$C$4))+$F199*Setup!$C$14*MAX(0,(Setup!$C$6+1+Setup!$C$20)-MAX(Setup!$C$5+4,Setup!$C$4)))+$Y199-$K199-IF(AND($L199&lt;&gt;"",$L199&gt;0),IF($M199&lt;=Setup!$C$10,$L199,0),0)),IF(OR($P199="",$P199&lt;=0),1,$P199)))))</f>
        <v/>
      </c>
      <c r="AS199" s="96" t="str">
        <f>IF($R199&lt;&gt;"OK","",IF(AND($O199&lt;&gt;"Domestic",ISNUMBER(Setup!$C$22),Setup!$C$22&gt;Setup!$C$4),Setup!$C$22,Setup!$C$4))</f>
        <v/>
      </c>
      <c r="AT199" s="96" t="str">
        <f>IF($R199&lt;&gt;"OK","",IF($AB199=0,"",IF($O199="Domestic",$AG199,$AS199+$N199+Setup!$C$27+Setup!$C$11)))</f>
        <v/>
      </c>
    </row>
    <row r="200" ht="15" customHeight="1" s="46">
      <c r="A200" s="70" t="n"/>
      <c r="B200" s="70" t="n"/>
      <c r="C200" s="70" t="n"/>
      <c r="D200" s="85" t="n"/>
      <c r="E200" s="85" t="n"/>
      <c r="F200" s="86" t="n"/>
      <c r="G200" s="87" t="n"/>
      <c r="H200" s="88" t="n"/>
      <c r="I200" s="89" t="n"/>
      <c r="J200" s="90" t="n"/>
      <c r="K200" s="87" t="n"/>
      <c r="L200" s="87" t="n"/>
      <c r="M200" s="91" t="n"/>
      <c r="N200" s="92" t="n"/>
      <c r="O200" s="70" t="n"/>
      <c r="P200" s="92" t="n"/>
      <c r="Q200" s="87" t="n"/>
      <c r="R200" s="79" t="str">
        <f>IF($A200="","",IF($C200="","Missing: type",IF(OR($D200="",$D200&lt;=0),"Missing: unit cost",IF($E200="","Missing: unit price",IF($F200="","Missing: daily sales",IF($K200="","Missing: on hand",IF($N200="","Missing: production days",IF($O200="","Missing: freight mode",IF(ISNA(MATCH($O200,Setup!$B$25:$B$29,0)),"Unknown freight mode",IF(AND($L200&lt;&gt;"",$L200&gt;0,$M200=""),"Missing: on-order arrival date","OK"))))))))))</f>
        <v/>
      </c>
      <c r="S200" s="78" t="str">
        <f>IF($R200&lt;&gt;"OK","",IF($G200="","",ROUND($G200/IF(OR($H200="",$H200&lt;=0),4,$H200)*4,0)))</f>
        <v/>
      </c>
      <c r="T200" s="78" t="str">
        <f>IF($R200&lt;&gt;"OK","",ROUND(IF($G200="",$F200*4*Setup!$C$19,$G200/IF(OR($H200="",$H200&lt;=0),4,$H200)*4*(1+IF($I200="",Setup!$C$16,$I200)))*IF($J200="",1,$J200),0))</f>
        <v/>
      </c>
      <c r="U200" s="78" t="str">
        <f>IF($R200&lt;&gt;"OK","",ROUND($T200*Setup!$C$17,0))</f>
        <v/>
      </c>
      <c r="V200" s="78" t="str">
        <f>IF($R200&lt;&gt;"OK","",ROUND($T200*Setup!$C$18,0))</f>
        <v/>
      </c>
      <c r="W200" s="78" t="str">
        <f>IF($R200&lt;&gt;"OK","",IF($C200="Evergreen",$V200,IF($C200="Seasonal or new",$U200,$T200)))</f>
        <v/>
      </c>
      <c r="X200" s="78" t="str">
        <f>IF($R200&lt;&gt;"OK","",ROUND(($F200*MAX(0,MIN(Setup!$C$13+1,(Setup!$C$5-Setup!$C$7))-Setup!$C$4)+$F200*Setup!$C$8*MAX(0,MIN(Setup!$C$13+1,Setup!$C$5)-MAX((Setup!$C$5-Setup!$C$7),Setup!$C$4))+$W200/4*MAX(0,MIN(Setup!$C$13+1,Setup!$C$5+4)-MAX(Setup!$C$5,Setup!$C$4))+$F200*Setup!$C$14*MAX(0,Setup!$C$13+1-MAX(Setup!$C$5+4,Setup!$C$4))),0))</f>
        <v/>
      </c>
      <c r="Y200" s="78" t="str">
        <f>IF($R200&lt;&gt;"OK","",ROUND($F200*Setup!$C$15,0))</f>
        <v/>
      </c>
      <c r="Z200" s="78" t="str">
        <f>IF($R200&lt;&gt;"OK","",IF(AND($L200&lt;&gt;"",$L200&gt;0),IF($M200&lt;=Setup!$C$13,$L200,0),0))</f>
        <v/>
      </c>
      <c r="AA200" s="78" t="str">
        <f>IF($R200&lt;&gt;"OK","",MAX(0,$X200+$Y200-$K200-$Z200))</f>
        <v/>
      </c>
      <c r="AB200" s="78" t="str">
        <f>IF($R200&lt;&gt;"OK","",IF($AA200=0,0,CEILING(MAX($AA200,IF($Q200="",0,$Q200)),IF(OR($P200="",$P200&lt;=0),1,$P200))))</f>
        <v/>
      </c>
      <c r="AC200" s="78" t="str">
        <f>IF($R200&lt;&gt;"OK","",$AB200*$D200)</f>
        <v/>
      </c>
      <c r="AD200" s="93" t="str">
        <f>IF($R200&lt;&gt;"OK","",INDEX(Setup!$D$25:$D$29,MATCH($O200,Setup!$B$25:$B$29,0)))</f>
        <v/>
      </c>
      <c r="AE200" s="93" t="str">
        <f>IF($R200&lt;&gt;"OK","",$AD200-$N200)</f>
        <v/>
      </c>
      <c r="AF200" s="79" t="str">
        <f>IF($R200&lt;&gt;"OK","",IF($AB200=0,"No order needed",IF($AE200&gt;=$AS200,"Order by the deadline",IF(AND($O200&lt;&gt;"Domestic",Setup!$D$27-$N200&gt;=$AS200),"Late by this mode: fly it",IF(Setup!$D$28-$N200&gt;=$AS200,"Late: Express courier only",IF($AG200&lt;Setup!$C$5,"Tight: lands before Black Friday",IF(AND($O200&lt;&gt;"Domestic",$AT200&lt;Setup!$C$5),"Tight: by Air lands before Black Friday",IF($AS200+$N200+Setup!$C$28+Setup!$C$11&lt;Setup!$C$5,"Tight: by Express lands before Black Friday","Too late: ration"))))))))</f>
        <v/>
      </c>
      <c r="AG200" s="93" t="str">
        <f>IF($R200&lt;&gt;"OK","",IF($AB200=0,"",$AS200+$N200+INDEX(Setup!$C$25:$C$29,MATCH($O200,Setup!$B$25:$B$29,0))+Setup!$C$11))</f>
        <v/>
      </c>
      <c r="AH200" s="93" t="str">
        <f>IF($R200&lt;&gt;"OK","",IF($F200&lt;=0,"",INT(IF($K200&lt;($F200*MAX(0,(Setup!$C$5-Setup!$C$7)-Setup!$C$4)),Setup!$C$4+$K200/$F200,IF($K200&lt;($F200*MAX(0,(Setup!$C$5-Setup!$C$7)-Setup!$C$4))+($F200*Setup!$C$8*MAX(0,Setup!$C$5-MAX((Setup!$C$5-Setup!$C$7),Setup!$C$4))),MAX((Setup!$C$5-Setup!$C$7),Setup!$C$4)+($K200-($F200*MAX(0,(Setup!$C$5-Setup!$C$7)-Setup!$C$4)))/($F200*Setup!$C$8),IF(AND($W200&gt;0,$K200&lt;($F200*MAX(0,(Setup!$C$5-Setup!$C$7)-Setup!$C$4))+($F200*Setup!$C$8*MAX(0,Setup!$C$5-MAX((Setup!$C$5-Setup!$C$7),Setup!$C$4)))+($W200/4*MAX(0,Setup!$C$5+4-MAX(Setup!$C$5,Setup!$C$4)))),MAX(Setup!$C$5,Setup!$C$4)+($K200-($F200*MAX(0,(Setup!$C$5-Setup!$C$7)-Setup!$C$4))-($F200*Setup!$C$8*MAX(0,Setup!$C$5-MAX((Setup!$C$5-Setup!$C$7),Setup!$C$4))))/($W200/4),MAX(Setup!$C$5+4,Setup!$C$4)+($K200-($F200*MAX(0,(Setup!$C$5-Setup!$C$7)-Setup!$C$4))-($F200*Setup!$C$8*MAX(0,Setup!$C$5-MAX((Setup!$C$5-Setup!$C$7),Setup!$C$4)))-($W200/4*MAX(0,Setup!$C$5+4-MAX(Setup!$C$5,Setup!$C$4))))/($F200*Setup!$C$14)))))))</f>
        <v/>
      </c>
      <c r="AI200" s="79" t="str">
        <f>IF($R200&lt;&gt;"OK","",IF(AND($L200&lt;&gt;"",$L200&gt;0,ISNUMBER($AH200),$M200&gt;$AH200),"Runs out before the incoming delivery arrives",IF($AB200=0,"OK",IF($K200+IF(AND($L200&lt;&gt;"",$L200&gt;0),IF($M200&lt;=$AG200,$L200,0),0)&lt;($F200*MAX(0,MIN($AG200,(Setup!$C$5-Setup!$C$7))-Setup!$C$4)+$F200*Setup!$C$8*MAX(0,MIN($AG200,Setup!$C$5)-MAX((Setup!$C$5-Setup!$C$7),Setup!$C$4))+$W200/4*MAX(0,MIN($AG200,Setup!$C$5+4)-MAX(Setup!$C$5,Setup!$C$4))+$F200*Setup!$C$14*MAX(0,$AG200-MAX(Setup!$C$5+4,Setup!$C$4))),"Runs out before this order can land","OK"))))</f>
        <v/>
      </c>
      <c r="AJ200" s="78" t="str">
        <f>IF($R200&lt;&gt;"OK","",IF($AB200=0,0,IF($AL200="Too slow: send it all fast",$AB200,$AR200)))</f>
        <v/>
      </c>
      <c r="AK200" s="78" t="str">
        <f>IF($R200&lt;&gt;"OK","",$AB200-$AJ200)</f>
        <v/>
      </c>
      <c r="AL200" s="78" t="str">
        <f>IF($R200&lt;&gt;"OK","",IF($AB200=0,"",IF($AB200-$AR200=0,"Nothing left over",IF($O200="Domestic",IF($AG200&lt;=Setup!$C$6+Setup!$C$20+1,"Later units can go by Domestic","Too slow: send it all fast"),IF($AS200+$N200+Setup!$C$25+Setup!$C$11&lt;=Setup!$C$6+Setup!$C$20+1,"Later units can go by Ocean long",IF($AS200+$N200+Setup!$C$26+Setup!$C$11&lt;=Setup!$C$6+Setup!$C$20+1,"Later units can go by Ocean short",IF($AS200+$N200+Setup!$C$27+Setup!$C$11&lt;=Setup!$C$6+Setup!$C$20+1,"Later units can go by Air",IF($AS200+$N200+Setup!$C$28+Setup!$C$11&lt;=Setup!$C$6+Setup!$C$20+1,"Later units can go by Express","Too slow: send it all fast"))))))))</f>
        <v/>
      </c>
      <c r="AM200" s="94" t="str">
        <f>IF($R200&lt;&gt;"OK","",$E200-$D200)</f>
        <v/>
      </c>
      <c r="AN200" s="95" t="str">
        <f>IF($R200&lt;&gt;"OK","",($E200-$D200)/$D200)</f>
        <v/>
      </c>
      <c r="AO200" s="95" t="str">
        <f>IF($R200&lt;&gt;"OK","",IF($AB200&gt;0,$AN200+IF($C200="Evergreen",1000,0),""))</f>
        <v/>
      </c>
      <c r="AP200" s="78" t="str">
        <f>IF(OR($R200&lt;&gt;"OK",$AO200=""),"",COUNTIF($AO$6:$AO$205,"&gt;"&amp;$AO200)+COUNTIF($AO$6:$AO200,$AO200))</f>
        <v/>
      </c>
      <c r="AQ200" s="78" t="str">
        <f>IF(OR($R200&lt;&gt;"OK",$AP200=""),"",INDEX('Buy list'!$G$5:$G$204,$AP200))</f>
        <v/>
      </c>
      <c r="AR200" s="78" t="str">
        <f>IF($R200&lt;&gt;"OK","",IF($AB200=0,0,MIN($AB200,CEILING(MAX(0,($F200*MAX(0,MIN((Setup!$C$6+1+Setup!$C$20),(Setup!$C$5-Setup!$C$7))-Setup!$C$4)+$F200*Setup!$C$8*MAX(0,MIN((Setup!$C$6+1+Setup!$C$20),Setup!$C$5)-MAX((Setup!$C$5-Setup!$C$7),Setup!$C$4))+$W200/4*MAX(0,MIN((Setup!$C$6+1+Setup!$C$20),Setup!$C$5+4)-MAX(Setup!$C$5,Setup!$C$4))+$F200*Setup!$C$14*MAX(0,(Setup!$C$6+1+Setup!$C$20)-MAX(Setup!$C$5+4,Setup!$C$4)))+$Y200-$K200-IF(AND($L200&lt;&gt;"",$L200&gt;0),IF($M200&lt;=Setup!$C$10,$L200,0),0)),IF(OR($P200="",$P200&lt;=0),1,$P200)))))</f>
        <v/>
      </c>
      <c r="AS200" s="96" t="str">
        <f>IF($R200&lt;&gt;"OK","",IF(AND($O200&lt;&gt;"Domestic",ISNUMBER(Setup!$C$22),Setup!$C$22&gt;Setup!$C$4),Setup!$C$22,Setup!$C$4))</f>
        <v/>
      </c>
      <c r="AT200" s="96" t="str">
        <f>IF($R200&lt;&gt;"OK","",IF($AB200=0,"",IF($O200="Domestic",$AG200,$AS200+$N200+Setup!$C$27+Setup!$C$11)))</f>
        <v/>
      </c>
    </row>
    <row r="201" ht="15" customHeight="1" s="46">
      <c r="A201" s="70" t="n"/>
      <c r="B201" s="70" t="n"/>
      <c r="C201" s="70" t="n"/>
      <c r="D201" s="85" t="n"/>
      <c r="E201" s="85" t="n"/>
      <c r="F201" s="86" t="n"/>
      <c r="G201" s="87" t="n"/>
      <c r="H201" s="88" t="n"/>
      <c r="I201" s="89" t="n"/>
      <c r="J201" s="90" t="n"/>
      <c r="K201" s="87" t="n"/>
      <c r="L201" s="87" t="n"/>
      <c r="M201" s="91" t="n"/>
      <c r="N201" s="92" t="n"/>
      <c r="O201" s="70" t="n"/>
      <c r="P201" s="92" t="n"/>
      <c r="Q201" s="87" t="n"/>
      <c r="R201" s="79" t="str">
        <f>IF($A201="","",IF($C201="","Missing: type",IF(OR($D201="",$D201&lt;=0),"Missing: unit cost",IF($E201="","Missing: unit price",IF($F201="","Missing: daily sales",IF($K201="","Missing: on hand",IF($N201="","Missing: production days",IF($O201="","Missing: freight mode",IF(ISNA(MATCH($O201,Setup!$B$25:$B$29,0)),"Unknown freight mode",IF(AND($L201&lt;&gt;"",$L201&gt;0,$M201=""),"Missing: on-order arrival date","OK"))))))))))</f>
        <v/>
      </c>
      <c r="S201" s="78" t="str">
        <f>IF($R201&lt;&gt;"OK","",IF($G201="","",ROUND($G201/IF(OR($H201="",$H201&lt;=0),4,$H201)*4,0)))</f>
        <v/>
      </c>
      <c r="T201" s="78" t="str">
        <f>IF($R201&lt;&gt;"OK","",ROUND(IF($G201="",$F201*4*Setup!$C$19,$G201/IF(OR($H201="",$H201&lt;=0),4,$H201)*4*(1+IF($I201="",Setup!$C$16,$I201)))*IF($J201="",1,$J201),0))</f>
        <v/>
      </c>
      <c r="U201" s="78" t="str">
        <f>IF($R201&lt;&gt;"OK","",ROUND($T201*Setup!$C$17,0))</f>
        <v/>
      </c>
      <c r="V201" s="78" t="str">
        <f>IF($R201&lt;&gt;"OK","",ROUND($T201*Setup!$C$18,0))</f>
        <v/>
      </c>
      <c r="W201" s="78" t="str">
        <f>IF($R201&lt;&gt;"OK","",IF($C201="Evergreen",$V201,IF($C201="Seasonal or new",$U201,$T201)))</f>
        <v/>
      </c>
      <c r="X201" s="78" t="str">
        <f>IF($R201&lt;&gt;"OK","",ROUND(($F201*MAX(0,MIN(Setup!$C$13+1,(Setup!$C$5-Setup!$C$7))-Setup!$C$4)+$F201*Setup!$C$8*MAX(0,MIN(Setup!$C$13+1,Setup!$C$5)-MAX((Setup!$C$5-Setup!$C$7),Setup!$C$4))+$W201/4*MAX(0,MIN(Setup!$C$13+1,Setup!$C$5+4)-MAX(Setup!$C$5,Setup!$C$4))+$F201*Setup!$C$14*MAX(0,Setup!$C$13+1-MAX(Setup!$C$5+4,Setup!$C$4))),0))</f>
        <v/>
      </c>
      <c r="Y201" s="78" t="str">
        <f>IF($R201&lt;&gt;"OK","",ROUND($F201*Setup!$C$15,0))</f>
        <v/>
      </c>
      <c r="Z201" s="78" t="str">
        <f>IF($R201&lt;&gt;"OK","",IF(AND($L201&lt;&gt;"",$L201&gt;0),IF($M201&lt;=Setup!$C$13,$L201,0),0))</f>
        <v/>
      </c>
      <c r="AA201" s="78" t="str">
        <f>IF($R201&lt;&gt;"OK","",MAX(0,$X201+$Y201-$K201-$Z201))</f>
        <v/>
      </c>
      <c r="AB201" s="78" t="str">
        <f>IF($R201&lt;&gt;"OK","",IF($AA201=0,0,CEILING(MAX($AA201,IF($Q201="",0,$Q201)),IF(OR($P201="",$P201&lt;=0),1,$P201))))</f>
        <v/>
      </c>
      <c r="AC201" s="78" t="str">
        <f>IF($R201&lt;&gt;"OK","",$AB201*$D201)</f>
        <v/>
      </c>
      <c r="AD201" s="93" t="str">
        <f>IF($R201&lt;&gt;"OK","",INDEX(Setup!$D$25:$D$29,MATCH($O201,Setup!$B$25:$B$29,0)))</f>
        <v/>
      </c>
      <c r="AE201" s="93" t="str">
        <f>IF($R201&lt;&gt;"OK","",$AD201-$N201)</f>
        <v/>
      </c>
      <c r="AF201" s="79" t="str">
        <f>IF($R201&lt;&gt;"OK","",IF($AB201=0,"No order needed",IF($AE201&gt;=$AS201,"Order by the deadline",IF(AND($O201&lt;&gt;"Domestic",Setup!$D$27-$N201&gt;=$AS201),"Late by this mode: fly it",IF(Setup!$D$28-$N201&gt;=$AS201,"Late: Express courier only",IF($AG201&lt;Setup!$C$5,"Tight: lands before Black Friday",IF(AND($O201&lt;&gt;"Domestic",$AT201&lt;Setup!$C$5),"Tight: by Air lands before Black Friday",IF($AS201+$N201+Setup!$C$28+Setup!$C$11&lt;Setup!$C$5,"Tight: by Express lands before Black Friday","Too late: ration"))))))))</f>
        <v/>
      </c>
      <c r="AG201" s="93" t="str">
        <f>IF($R201&lt;&gt;"OK","",IF($AB201=0,"",$AS201+$N201+INDEX(Setup!$C$25:$C$29,MATCH($O201,Setup!$B$25:$B$29,0))+Setup!$C$11))</f>
        <v/>
      </c>
      <c r="AH201" s="93" t="str">
        <f>IF($R201&lt;&gt;"OK","",IF($F201&lt;=0,"",INT(IF($K201&lt;($F201*MAX(0,(Setup!$C$5-Setup!$C$7)-Setup!$C$4)),Setup!$C$4+$K201/$F201,IF($K201&lt;($F201*MAX(0,(Setup!$C$5-Setup!$C$7)-Setup!$C$4))+($F201*Setup!$C$8*MAX(0,Setup!$C$5-MAX((Setup!$C$5-Setup!$C$7),Setup!$C$4))),MAX((Setup!$C$5-Setup!$C$7),Setup!$C$4)+($K201-($F201*MAX(0,(Setup!$C$5-Setup!$C$7)-Setup!$C$4)))/($F201*Setup!$C$8),IF(AND($W201&gt;0,$K201&lt;($F201*MAX(0,(Setup!$C$5-Setup!$C$7)-Setup!$C$4))+($F201*Setup!$C$8*MAX(0,Setup!$C$5-MAX((Setup!$C$5-Setup!$C$7),Setup!$C$4)))+($W201/4*MAX(0,Setup!$C$5+4-MAX(Setup!$C$5,Setup!$C$4)))),MAX(Setup!$C$5,Setup!$C$4)+($K201-($F201*MAX(0,(Setup!$C$5-Setup!$C$7)-Setup!$C$4))-($F201*Setup!$C$8*MAX(0,Setup!$C$5-MAX((Setup!$C$5-Setup!$C$7),Setup!$C$4))))/($W201/4),MAX(Setup!$C$5+4,Setup!$C$4)+($K201-($F201*MAX(0,(Setup!$C$5-Setup!$C$7)-Setup!$C$4))-($F201*Setup!$C$8*MAX(0,Setup!$C$5-MAX((Setup!$C$5-Setup!$C$7),Setup!$C$4)))-($W201/4*MAX(0,Setup!$C$5+4-MAX(Setup!$C$5,Setup!$C$4))))/($F201*Setup!$C$14)))))))</f>
        <v/>
      </c>
      <c r="AI201" s="79" t="str">
        <f>IF($R201&lt;&gt;"OK","",IF(AND($L201&lt;&gt;"",$L201&gt;0,ISNUMBER($AH201),$M201&gt;$AH201),"Runs out before the incoming delivery arrives",IF($AB201=0,"OK",IF($K201+IF(AND($L201&lt;&gt;"",$L201&gt;0),IF($M201&lt;=$AG201,$L201,0),0)&lt;($F201*MAX(0,MIN($AG201,(Setup!$C$5-Setup!$C$7))-Setup!$C$4)+$F201*Setup!$C$8*MAX(0,MIN($AG201,Setup!$C$5)-MAX((Setup!$C$5-Setup!$C$7),Setup!$C$4))+$W201/4*MAX(0,MIN($AG201,Setup!$C$5+4)-MAX(Setup!$C$5,Setup!$C$4))+$F201*Setup!$C$14*MAX(0,$AG201-MAX(Setup!$C$5+4,Setup!$C$4))),"Runs out before this order can land","OK"))))</f>
        <v/>
      </c>
      <c r="AJ201" s="78" t="str">
        <f>IF($R201&lt;&gt;"OK","",IF($AB201=0,0,IF($AL201="Too slow: send it all fast",$AB201,$AR201)))</f>
        <v/>
      </c>
      <c r="AK201" s="78" t="str">
        <f>IF($R201&lt;&gt;"OK","",$AB201-$AJ201)</f>
        <v/>
      </c>
      <c r="AL201" s="78" t="str">
        <f>IF($R201&lt;&gt;"OK","",IF($AB201=0,"",IF($AB201-$AR201=0,"Nothing left over",IF($O201="Domestic",IF($AG201&lt;=Setup!$C$6+Setup!$C$20+1,"Later units can go by Domestic","Too slow: send it all fast"),IF($AS201+$N201+Setup!$C$25+Setup!$C$11&lt;=Setup!$C$6+Setup!$C$20+1,"Later units can go by Ocean long",IF($AS201+$N201+Setup!$C$26+Setup!$C$11&lt;=Setup!$C$6+Setup!$C$20+1,"Later units can go by Ocean short",IF($AS201+$N201+Setup!$C$27+Setup!$C$11&lt;=Setup!$C$6+Setup!$C$20+1,"Later units can go by Air",IF($AS201+$N201+Setup!$C$28+Setup!$C$11&lt;=Setup!$C$6+Setup!$C$20+1,"Later units can go by Express","Too slow: send it all fast"))))))))</f>
        <v/>
      </c>
      <c r="AM201" s="94" t="str">
        <f>IF($R201&lt;&gt;"OK","",$E201-$D201)</f>
        <v/>
      </c>
      <c r="AN201" s="95" t="str">
        <f>IF($R201&lt;&gt;"OK","",($E201-$D201)/$D201)</f>
        <v/>
      </c>
      <c r="AO201" s="95" t="str">
        <f>IF($R201&lt;&gt;"OK","",IF($AB201&gt;0,$AN201+IF($C201="Evergreen",1000,0),""))</f>
        <v/>
      </c>
      <c r="AP201" s="78" t="str">
        <f>IF(OR($R201&lt;&gt;"OK",$AO201=""),"",COUNTIF($AO$6:$AO$205,"&gt;"&amp;$AO201)+COUNTIF($AO$6:$AO201,$AO201))</f>
        <v/>
      </c>
      <c r="AQ201" s="78" t="str">
        <f>IF(OR($R201&lt;&gt;"OK",$AP201=""),"",INDEX('Buy list'!$G$5:$G$204,$AP201))</f>
        <v/>
      </c>
      <c r="AR201" s="78" t="str">
        <f>IF($R201&lt;&gt;"OK","",IF($AB201=0,0,MIN($AB201,CEILING(MAX(0,($F201*MAX(0,MIN((Setup!$C$6+1+Setup!$C$20),(Setup!$C$5-Setup!$C$7))-Setup!$C$4)+$F201*Setup!$C$8*MAX(0,MIN((Setup!$C$6+1+Setup!$C$20),Setup!$C$5)-MAX((Setup!$C$5-Setup!$C$7),Setup!$C$4))+$W201/4*MAX(0,MIN((Setup!$C$6+1+Setup!$C$20),Setup!$C$5+4)-MAX(Setup!$C$5,Setup!$C$4))+$F201*Setup!$C$14*MAX(0,(Setup!$C$6+1+Setup!$C$20)-MAX(Setup!$C$5+4,Setup!$C$4)))+$Y201-$K201-IF(AND($L201&lt;&gt;"",$L201&gt;0),IF($M201&lt;=Setup!$C$10,$L201,0),0)),IF(OR($P201="",$P201&lt;=0),1,$P201)))))</f>
        <v/>
      </c>
      <c r="AS201" s="96" t="str">
        <f>IF($R201&lt;&gt;"OK","",IF(AND($O201&lt;&gt;"Domestic",ISNUMBER(Setup!$C$22),Setup!$C$22&gt;Setup!$C$4),Setup!$C$22,Setup!$C$4))</f>
        <v/>
      </c>
      <c r="AT201" s="96" t="str">
        <f>IF($R201&lt;&gt;"OK","",IF($AB201=0,"",IF($O201="Domestic",$AG201,$AS201+$N201+Setup!$C$27+Setup!$C$11)))</f>
        <v/>
      </c>
    </row>
    <row r="202" ht="15" customHeight="1" s="46">
      <c r="A202" s="70" t="n"/>
      <c r="B202" s="70" t="n"/>
      <c r="C202" s="70" t="n"/>
      <c r="D202" s="85" t="n"/>
      <c r="E202" s="85" t="n"/>
      <c r="F202" s="86" t="n"/>
      <c r="G202" s="87" t="n"/>
      <c r="H202" s="88" t="n"/>
      <c r="I202" s="89" t="n"/>
      <c r="J202" s="90" t="n"/>
      <c r="K202" s="87" t="n"/>
      <c r="L202" s="87" t="n"/>
      <c r="M202" s="91" t="n"/>
      <c r="N202" s="92" t="n"/>
      <c r="O202" s="70" t="n"/>
      <c r="P202" s="92" t="n"/>
      <c r="Q202" s="87" t="n"/>
      <c r="R202" s="79" t="str">
        <f>IF($A202="","",IF($C202="","Missing: type",IF(OR($D202="",$D202&lt;=0),"Missing: unit cost",IF($E202="","Missing: unit price",IF($F202="","Missing: daily sales",IF($K202="","Missing: on hand",IF($N202="","Missing: production days",IF($O202="","Missing: freight mode",IF(ISNA(MATCH($O202,Setup!$B$25:$B$29,0)),"Unknown freight mode",IF(AND($L202&lt;&gt;"",$L202&gt;0,$M202=""),"Missing: on-order arrival date","OK"))))))))))</f>
        <v/>
      </c>
      <c r="S202" s="78" t="str">
        <f>IF($R202&lt;&gt;"OK","",IF($G202="","",ROUND($G202/IF(OR($H202="",$H202&lt;=0),4,$H202)*4,0)))</f>
        <v/>
      </c>
      <c r="T202" s="78" t="str">
        <f>IF($R202&lt;&gt;"OK","",ROUND(IF($G202="",$F202*4*Setup!$C$19,$G202/IF(OR($H202="",$H202&lt;=0),4,$H202)*4*(1+IF($I202="",Setup!$C$16,$I202)))*IF($J202="",1,$J202),0))</f>
        <v/>
      </c>
      <c r="U202" s="78" t="str">
        <f>IF($R202&lt;&gt;"OK","",ROUND($T202*Setup!$C$17,0))</f>
        <v/>
      </c>
      <c r="V202" s="78" t="str">
        <f>IF($R202&lt;&gt;"OK","",ROUND($T202*Setup!$C$18,0))</f>
        <v/>
      </c>
      <c r="W202" s="78" t="str">
        <f>IF($R202&lt;&gt;"OK","",IF($C202="Evergreen",$V202,IF($C202="Seasonal or new",$U202,$T202)))</f>
        <v/>
      </c>
      <c r="X202" s="78" t="str">
        <f>IF($R202&lt;&gt;"OK","",ROUND(($F202*MAX(0,MIN(Setup!$C$13+1,(Setup!$C$5-Setup!$C$7))-Setup!$C$4)+$F202*Setup!$C$8*MAX(0,MIN(Setup!$C$13+1,Setup!$C$5)-MAX((Setup!$C$5-Setup!$C$7),Setup!$C$4))+$W202/4*MAX(0,MIN(Setup!$C$13+1,Setup!$C$5+4)-MAX(Setup!$C$5,Setup!$C$4))+$F202*Setup!$C$14*MAX(0,Setup!$C$13+1-MAX(Setup!$C$5+4,Setup!$C$4))),0))</f>
        <v/>
      </c>
      <c r="Y202" s="78" t="str">
        <f>IF($R202&lt;&gt;"OK","",ROUND($F202*Setup!$C$15,0))</f>
        <v/>
      </c>
      <c r="Z202" s="78" t="str">
        <f>IF($R202&lt;&gt;"OK","",IF(AND($L202&lt;&gt;"",$L202&gt;0),IF($M202&lt;=Setup!$C$13,$L202,0),0))</f>
        <v/>
      </c>
      <c r="AA202" s="78" t="str">
        <f>IF($R202&lt;&gt;"OK","",MAX(0,$X202+$Y202-$K202-$Z202))</f>
        <v/>
      </c>
      <c r="AB202" s="78" t="str">
        <f>IF($R202&lt;&gt;"OK","",IF($AA202=0,0,CEILING(MAX($AA202,IF($Q202="",0,$Q202)),IF(OR($P202="",$P202&lt;=0),1,$P202))))</f>
        <v/>
      </c>
      <c r="AC202" s="78" t="str">
        <f>IF($R202&lt;&gt;"OK","",$AB202*$D202)</f>
        <v/>
      </c>
      <c r="AD202" s="93" t="str">
        <f>IF($R202&lt;&gt;"OK","",INDEX(Setup!$D$25:$D$29,MATCH($O202,Setup!$B$25:$B$29,0)))</f>
        <v/>
      </c>
      <c r="AE202" s="93" t="str">
        <f>IF($R202&lt;&gt;"OK","",$AD202-$N202)</f>
        <v/>
      </c>
      <c r="AF202" s="79" t="str">
        <f>IF($R202&lt;&gt;"OK","",IF($AB202=0,"No order needed",IF($AE202&gt;=$AS202,"Order by the deadline",IF(AND($O202&lt;&gt;"Domestic",Setup!$D$27-$N202&gt;=$AS202),"Late by this mode: fly it",IF(Setup!$D$28-$N202&gt;=$AS202,"Late: Express courier only",IF($AG202&lt;Setup!$C$5,"Tight: lands before Black Friday",IF(AND($O202&lt;&gt;"Domestic",$AT202&lt;Setup!$C$5),"Tight: by Air lands before Black Friday",IF($AS202+$N202+Setup!$C$28+Setup!$C$11&lt;Setup!$C$5,"Tight: by Express lands before Black Friday","Too late: ration"))))))))</f>
        <v/>
      </c>
      <c r="AG202" s="93" t="str">
        <f>IF($R202&lt;&gt;"OK","",IF($AB202=0,"",$AS202+$N202+INDEX(Setup!$C$25:$C$29,MATCH($O202,Setup!$B$25:$B$29,0))+Setup!$C$11))</f>
        <v/>
      </c>
      <c r="AH202" s="93" t="str">
        <f>IF($R202&lt;&gt;"OK","",IF($F202&lt;=0,"",INT(IF($K202&lt;($F202*MAX(0,(Setup!$C$5-Setup!$C$7)-Setup!$C$4)),Setup!$C$4+$K202/$F202,IF($K202&lt;($F202*MAX(0,(Setup!$C$5-Setup!$C$7)-Setup!$C$4))+($F202*Setup!$C$8*MAX(0,Setup!$C$5-MAX((Setup!$C$5-Setup!$C$7),Setup!$C$4))),MAX((Setup!$C$5-Setup!$C$7),Setup!$C$4)+($K202-($F202*MAX(0,(Setup!$C$5-Setup!$C$7)-Setup!$C$4)))/($F202*Setup!$C$8),IF(AND($W202&gt;0,$K202&lt;($F202*MAX(0,(Setup!$C$5-Setup!$C$7)-Setup!$C$4))+($F202*Setup!$C$8*MAX(0,Setup!$C$5-MAX((Setup!$C$5-Setup!$C$7),Setup!$C$4)))+($W202/4*MAX(0,Setup!$C$5+4-MAX(Setup!$C$5,Setup!$C$4)))),MAX(Setup!$C$5,Setup!$C$4)+($K202-($F202*MAX(0,(Setup!$C$5-Setup!$C$7)-Setup!$C$4))-($F202*Setup!$C$8*MAX(0,Setup!$C$5-MAX((Setup!$C$5-Setup!$C$7),Setup!$C$4))))/($W202/4),MAX(Setup!$C$5+4,Setup!$C$4)+($K202-($F202*MAX(0,(Setup!$C$5-Setup!$C$7)-Setup!$C$4))-($F202*Setup!$C$8*MAX(0,Setup!$C$5-MAX((Setup!$C$5-Setup!$C$7),Setup!$C$4)))-($W202/4*MAX(0,Setup!$C$5+4-MAX(Setup!$C$5,Setup!$C$4))))/($F202*Setup!$C$14)))))))</f>
        <v/>
      </c>
      <c r="AI202" s="79" t="str">
        <f>IF($R202&lt;&gt;"OK","",IF(AND($L202&lt;&gt;"",$L202&gt;0,ISNUMBER($AH202),$M202&gt;$AH202),"Runs out before the incoming delivery arrives",IF($AB202=0,"OK",IF($K202+IF(AND($L202&lt;&gt;"",$L202&gt;0),IF($M202&lt;=$AG202,$L202,0),0)&lt;($F202*MAX(0,MIN($AG202,(Setup!$C$5-Setup!$C$7))-Setup!$C$4)+$F202*Setup!$C$8*MAX(0,MIN($AG202,Setup!$C$5)-MAX((Setup!$C$5-Setup!$C$7),Setup!$C$4))+$W202/4*MAX(0,MIN($AG202,Setup!$C$5+4)-MAX(Setup!$C$5,Setup!$C$4))+$F202*Setup!$C$14*MAX(0,$AG202-MAX(Setup!$C$5+4,Setup!$C$4))),"Runs out before this order can land","OK"))))</f>
        <v/>
      </c>
      <c r="AJ202" s="78" t="str">
        <f>IF($R202&lt;&gt;"OK","",IF($AB202=0,0,IF($AL202="Too slow: send it all fast",$AB202,$AR202)))</f>
        <v/>
      </c>
      <c r="AK202" s="78" t="str">
        <f>IF($R202&lt;&gt;"OK","",$AB202-$AJ202)</f>
        <v/>
      </c>
      <c r="AL202" s="78" t="str">
        <f>IF($R202&lt;&gt;"OK","",IF($AB202=0,"",IF($AB202-$AR202=0,"Nothing left over",IF($O202="Domestic",IF($AG202&lt;=Setup!$C$6+Setup!$C$20+1,"Later units can go by Domestic","Too slow: send it all fast"),IF($AS202+$N202+Setup!$C$25+Setup!$C$11&lt;=Setup!$C$6+Setup!$C$20+1,"Later units can go by Ocean long",IF($AS202+$N202+Setup!$C$26+Setup!$C$11&lt;=Setup!$C$6+Setup!$C$20+1,"Later units can go by Ocean short",IF($AS202+$N202+Setup!$C$27+Setup!$C$11&lt;=Setup!$C$6+Setup!$C$20+1,"Later units can go by Air",IF($AS202+$N202+Setup!$C$28+Setup!$C$11&lt;=Setup!$C$6+Setup!$C$20+1,"Later units can go by Express","Too slow: send it all fast"))))))))</f>
        <v/>
      </c>
      <c r="AM202" s="94" t="str">
        <f>IF($R202&lt;&gt;"OK","",$E202-$D202)</f>
        <v/>
      </c>
      <c r="AN202" s="95" t="str">
        <f>IF($R202&lt;&gt;"OK","",($E202-$D202)/$D202)</f>
        <v/>
      </c>
      <c r="AO202" s="95" t="str">
        <f>IF($R202&lt;&gt;"OK","",IF($AB202&gt;0,$AN202+IF($C202="Evergreen",1000,0),""))</f>
        <v/>
      </c>
      <c r="AP202" s="78" t="str">
        <f>IF(OR($R202&lt;&gt;"OK",$AO202=""),"",COUNTIF($AO$6:$AO$205,"&gt;"&amp;$AO202)+COUNTIF($AO$6:$AO202,$AO202))</f>
        <v/>
      </c>
      <c r="AQ202" s="78" t="str">
        <f>IF(OR($R202&lt;&gt;"OK",$AP202=""),"",INDEX('Buy list'!$G$5:$G$204,$AP202))</f>
        <v/>
      </c>
      <c r="AR202" s="78" t="str">
        <f>IF($R202&lt;&gt;"OK","",IF($AB202=0,0,MIN($AB202,CEILING(MAX(0,($F202*MAX(0,MIN((Setup!$C$6+1+Setup!$C$20),(Setup!$C$5-Setup!$C$7))-Setup!$C$4)+$F202*Setup!$C$8*MAX(0,MIN((Setup!$C$6+1+Setup!$C$20),Setup!$C$5)-MAX((Setup!$C$5-Setup!$C$7),Setup!$C$4))+$W202/4*MAX(0,MIN((Setup!$C$6+1+Setup!$C$20),Setup!$C$5+4)-MAX(Setup!$C$5,Setup!$C$4))+$F202*Setup!$C$14*MAX(0,(Setup!$C$6+1+Setup!$C$20)-MAX(Setup!$C$5+4,Setup!$C$4)))+$Y202-$K202-IF(AND($L202&lt;&gt;"",$L202&gt;0),IF($M202&lt;=Setup!$C$10,$L202,0),0)),IF(OR($P202="",$P202&lt;=0),1,$P202)))))</f>
        <v/>
      </c>
      <c r="AS202" s="96" t="str">
        <f>IF($R202&lt;&gt;"OK","",IF(AND($O202&lt;&gt;"Domestic",ISNUMBER(Setup!$C$22),Setup!$C$22&gt;Setup!$C$4),Setup!$C$22,Setup!$C$4))</f>
        <v/>
      </c>
      <c r="AT202" s="96" t="str">
        <f>IF($R202&lt;&gt;"OK","",IF($AB202=0,"",IF($O202="Domestic",$AG202,$AS202+$N202+Setup!$C$27+Setup!$C$11)))</f>
        <v/>
      </c>
    </row>
    <row r="203" ht="15" customHeight="1" s="46">
      <c r="A203" s="70" t="n"/>
      <c r="B203" s="70" t="n"/>
      <c r="C203" s="70" t="n"/>
      <c r="D203" s="85" t="n"/>
      <c r="E203" s="85" t="n"/>
      <c r="F203" s="86" t="n"/>
      <c r="G203" s="87" t="n"/>
      <c r="H203" s="88" t="n"/>
      <c r="I203" s="89" t="n"/>
      <c r="J203" s="90" t="n"/>
      <c r="K203" s="87" t="n"/>
      <c r="L203" s="87" t="n"/>
      <c r="M203" s="91" t="n"/>
      <c r="N203" s="92" t="n"/>
      <c r="O203" s="70" t="n"/>
      <c r="P203" s="92" t="n"/>
      <c r="Q203" s="87" t="n"/>
      <c r="R203" s="79" t="str">
        <f>IF($A203="","",IF($C203="","Missing: type",IF(OR($D203="",$D203&lt;=0),"Missing: unit cost",IF($E203="","Missing: unit price",IF($F203="","Missing: daily sales",IF($K203="","Missing: on hand",IF($N203="","Missing: production days",IF($O203="","Missing: freight mode",IF(ISNA(MATCH($O203,Setup!$B$25:$B$29,0)),"Unknown freight mode",IF(AND($L203&lt;&gt;"",$L203&gt;0,$M203=""),"Missing: on-order arrival date","OK"))))))))))</f>
        <v/>
      </c>
      <c r="S203" s="78" t="str">
        <f>IF($R203&lt;&gt;"OK","",IF($G203="","",ROUND($G203/IF(OR($H203="",$H203&lt;=0),4,$H203)*4,0)))</f>
        <v/>
      </c>
      <c r="T203" s="78" t="str">
        <f>IF($R203&lt;&gt;"OK","",ROUND(IF($G203="",$F203*4*Setup!$C$19,$G203/IF(OR($H203="",$H203&lt;=0),4,$H203)*4*(1+IF($I203="",Setup!$C$16,$I203)))*IF($J203="",1,$J203),0))</f>
        <v/>
      </c>
      <c r="U203" s="78" t="str">
        <f>IF($R203&lt;&gt;"OK","",ROUND($T203*Setup!$C$17,0))</f>
        <v/>
      </c>
      <c r="V203" s="78" t="str">
        <f>IF($R203&lt;&gt;"OK","",ROUND($T203*Setup!$C$18,0))</f>
        <v/>
      </c>
      <c r="W203" s="78" t="str">
        <f>IF($R203&lt;&gt;"OK","",IF($C203="Evergreen",$V203,IF($C203="Seasonal or new",$U203,$T203)))</f>
        <v/>
      </c>
      <c r="X203" s="78" t="str">
        <f>IF($R203&lt;&gt;"OK","",ROUND(($F203*MAX(0,MIN(Setup!$C$13+1,(Setup!$C$5-Setup!$C$7))-Setup!$C$4)+$F203*Setup!$C$8*MAX(0,MIN(Setup!$C$13+1,Setup!$C$5)-MAX((Setup!$C$5-Setup!$C$7),Setup!$C$4))+$W203/4*MAX(0,MIN(Setup!$C$13+1,Setup!$C$5+4)-MAX(Setup!$C$5,Setup!$C$4))+$F203*Setup!$C$14*MAX(0,Setup!$C$13+1-MAX(Setup!$C$5+4,Setup!$C$4))),0))</f>
        <v/>
      </c>
      <c r="Y203" s="78" t="str">
        <f>IF($R203&lt;&gt;"OK","",ROUND($F203*Setup!$C$15,0))</f>
        <v/>
      </c>
      <c r="Z203" s="78" t="str">
        <f>IF($R203&lt;&gt;"OK","",IF(AND($L203&lt;&gt;"",$L203&gt;0),IF($M203&lt;=Setup!$C$13,$L203,0),0))</f>
        <v/>
      </c>
      <c r="AA203" s="78" t="str">
        <f>IF($R203&lt;&gt;"OK","",MAX(0,$X203+$Y203-$K203-$Z203))</f>
        <v/>
      </c>
      <c r="AB203" s="78" t="str">
        <f>IF($R203&lt;&gt;"OK","",IF($AA203=0,0,CEILING(MAX($AA203,IF($Q203="",0,$Q203)),IF(OR($P203="",$P203&lt;=0),1,$P203))))</f>
        <v/>
      </c>
      <c r="AC203" s="78" t="str">
        <f>IF($R203&lt;&gt;"OK","",$AB203*$D203)</f>
        <v/>
      </c>
      <c r="AD203" s="93" t="str">
        <f>IF($R203&lt;&gt;"OK","",INDEX(Setup!$D$25:$D$29,MATCH($O203,Setup!$B$25:$B$29,0)))</f>
        <v/>
      </c>
      <c r="AE203" s="93" t="str">
        <f>IF($R203&lt;&gt;"OK","",$AD203-$N203)</f>
        <v/>
      </c>
      <c r="AF203" s="79" t="str">
        <f>IF($R203&lt;&gt;"OK","",IF($AB203=0,"No order needed",IF($AE203&gt;=$AS203,"Order by the deadline",IF(AND($O203&lt;&gt;"Domestic",Setup!$D$27-$N203&gt;=$AS203),"Late by this mode: fly it",IF(Setup!$D$28-$N203&gt;=$AS203,"Late: Express courier only",IF($AG203&lt;Setup!$C$5,"Tight: lands before Black Friday",IF(AND($O203&lt;&gt;"Domestic",$AT203&lt;Setup!$C$5),"Tight: by Air lands before Black Friday",IF($AS203+$N203+Setup!$C$28+Setup!$C$11&lt;Setup!$C$5,"Tight: by Express lands before Black Friday","Too late: ration"))))))))</f>
        <v/>
      </c>
      <c r="AG203" s="93" t="str">
        <f>IF($R203&lt;&gt;"OK","",IF($AB203=0,"",$AS203+$N203+INDEX(Setup!$C$25:$C$29,MATCH($O203,Setup!$B$25:$B$29,0))+Setup!$C$11))</f>
        <v/>
      </c>
      <c r="AH203" s="93" t="str">
        <f>IF($R203&lt;&gt;"OK","",IF($F203&lt;=0,"",INT(IF($K203&lt;($F203*MAX(0,(Setup!$C$5-Setup!$C$7)-Setup!$C$4)),Setup!$C$4+$K203/$F203,IF($K203&lt;($F203*MAX(0,(Setup!$C$5-Setup!$C$7)-Setup!$C$4))+($F203*Setup!$C$8*MAX(0,Setup!$C$5-MAX((Setup!$C$5-Setup!$C$7),Setup!$C$4))),MAX((Setup!$C$5-Setup!$C$7),Setup!$C$4)+($K203-($F203*MAX(0,(Setup!$C$5-Setup!$C$7)-Setup!$C$4)))/($F203*Setup!$C$8),IF(AND($W203&gt;0,$K203&lt;($F203*MAX(0,(Setup!$C$5-Setup!$C$7)-Setup!$C$4))+($F203*Setup!$C$8*MAX(0,Setup!$C$5-MAX((Setup!$C$5-Setup!$C$7),Setup!$C$4)))+($W203/4*MAX(0,Setup!$C$5+4-MAX(Setup!$C$5,Setup!$C$4)))),MAX(Setup!$C$5,Setup!$C$4)+($K203-($F203*MAX(0,(Setup!$C$5-Setup!$C$7)-Setup!$C$4))-($F203*Setup!$C$8*MAX(0,Setup!$C$5-MAX((Setup!$C$5-Setup!$C$7),Setup!$C$4))))/($W203/4),MAX(Setup!$C$5+4,Setup!$C$4)+($K203-($F203*MAX(0,(Setup!$C$5-Setup!$C$7)-Setup!$C$4))-($F203*Setup!$C$8*MAX(0,Setup!$C$5-MAX((Setup!$C$5-Setup!$C$7),Setup!$C$4)))-($W203/4*MAX(0,Setup!$C$5+4-MAX(Setup!$C$5,Setup!$C$4))))/($F203*Setup!$C$14)))))))</f>
        <v/>
      </c>
      <c r="AI203" s="79" t="str">
        <f>IF($R203&lt;&gt;"OK","",IF(AND($L203&lt;&gt;"",$L203&gt;0,ISNUMBER($AH203),$M203&gt;$AH203),"Runs out before the incoming delivery arrives",IF($AB203=0,"OK",IF($K203+IF(AND($L203&lt;&gt;"",$L203&gt;0),IF($M203&lt;=$AG203,$L203,0),0)&lt;($F203*MAX(0,MIN($AG203,(Setup!$C$5-Setup!$C$7))-Setup!$C$4)+$F203*Setup!$C$8*MAX(0,MIN($AG203,Setup!$C$5)-MAX((Setup!$C$5-Setup!$C$7),Setup!$C$4))+$W203/4*MAX(0,MIN($AG203,Setup!$C$5+4)-MAX(Setup!$C$5,Setup!$C$4))+$F203*Setup!$C$14*MAX(0,$AG203-MAX(Setup!$C$5+4,Setup!$C$4))),"Runs out before this order can land","OK"))))</f>
        <v/>
      </c>
      <c r="AJ203" s="78" t="str">
        <f>IF($R203&lt;&gt;"OK","",IF($AB203=0,0,IF($AL203="Too slow: send it all fast",$AB203,$AR203)))</f>
        <v/>
      </c>
      <c r="AK203" s="78" t="str">
        <f>IF($R203&lt;&gt;"OK","",$AB203-$AJ203)</f>
        <v/>
      </c>
      <c r="AL203" s="78" t="str">
        <f>IF($R203&lt;&gt;"OK","",IF($AB203=0,"",IF($AB203-$AR203=0,"Nothing left over",IF($O203="Domestic",IF($AG203&lt;=Setup!$C$6+Setup!$C$20+1,"Later units can go by Domestic","Too slow: send it all fast"),IF($AS203+$N203+Setup!$C$25+Setup!$C$11&lt;=Setup!$C$6+Setup!$C$20+1,"Later units can go by Ocean long",IF($AS203+$N203+Setup!$C$26+Setup!$C$11&lt;=Setup!$C$6+Setup!$C$20+1,"Later units can go by Ocean short",IF($AS203+$N203+Setup!$C$27+Setup!$C$11&lt;=Setup!$C$6+Setup!$C$20+1,"Later units can go by Air",IF($AS203+$N203+Setup!$C$28+Setup!$C$11&lt;=Setup!$C$6+Setup!$C$20+1,"Later units can go by Express","Too slow: send it all fast"))))))))</f>
        <v/>
      </c>
      <c r="AM203" s="94" t="str">
        <f>IF($R203&lt;&gt;"OK","",$E203-$D203)</f>
        <v/>
      </c>
      <c r="AN203" s="95" t="str">
        <f>IF($R203&lt;&gt;"OK","",($E203-$D203)/$D203)</f>
        <v/>
      </c>
      <c r="AO203" s="95" t="str">
        <f>IF($R203&lt;&gt;"OK","",IF($AB203&gt;0,$AN203+IF($C203="Evergreen",1000,0),""))</f>
        <v/>
      </c>
      <c r="AP203" s="78" t="str">
        <f>IF(OR($R203&lt;&gt;"OK",$AO203=""),"",COUNTIF($AO$6:$AO$205,"&gt;"&amp;$AO203)+COUNTIF($AO$6:$AO203,$AO203))</f>
        <v/>
      </c>
      <c r="AQ203" s="78" t="str">
        <f>IF(OR($R203&lt;&gt;"OK",$AP203=""),"",INDEX('Buy list'!$G$5:$G$204,$AP203))</f>
        <v/>
      </c>
      <c r="AR203" s="78" t="str">
        <f>IF($R203&lt;&gt;"OK","",IF($AB203=0,0,MIN($AB203,CEILING(MAX(0,($F203*MAX(0,MIN((Setup!$C$6+1+Setup!$C$20),(Setup!$C$5-Setup!$C$7))-Setup!$C$4)+$F203*Setup!$C$8*MAX(0,MIN((Setup!$C$6+1+Setup!$C$20),Setup!$C$5)-MAX((Setup!$C$5-Setup!$C$7),Setup!$C$4))+$W203/4*MAX(0,MIN((Setup!$C$6+1+Setup!$C$20),Setup!$C$5+4)-MAX(Setup!$C$5,Setup!$C$4))+$F203*Setup!$C$14*MAX(0,(Setup!$C$6+1+Setup!$C$20)-MAX(Setup!$C$5+4,Setup!$C$4)))+$Y203-$K203-IF(AND($L203&lt;&gt;"",$L203&gt;0),IF($M203&lt;=Setup!$C$10,$L203,0),0)),IF(OR($P203="",$P203&lt;=0),1,$P203)))))</f>
        <v/>
      </c>
      <c r="AS203" s="96" t="str">
        <f>IF($R203&lt;&gt;"OK","",IF(AND($O203&lt;&gt;"Domestic",ISNUMBER(Setup!$C$22),Setup!$C$22&gt;Setup!$C$4),Setup!$C$22,Setup!$C$4))</f>
        <v/>
      </c>
      <c r="AT203" s="96" t="str">
        <f>IF($R203&lt;&gt;"OK","",IF($AB203=0,"",IF($O203="Domestic",$AG203,$AS203+$N203+Setup!$C$27+Setup!$C$11)))</f>
        <v/>
      </c>
    </row>
    <row r="204" ht="15" customHeight="1" s="46">
      <c r="A204" s="70" t="n"/>
      <c r="B204" s="70" t="n"/>
      <c r="C204" s="70" t="n"/>
      <c r="D204" s="85" t="n"/>
      <c r="E204" s="85" t="n"/>
      <c r="F204" s="86" t="n"/>
      <c r="G204" s="87" t="n"/>
      <c r="H204" s="88" t="n"/>
      <c r="I204" s="89" t="n"/>
      <c r="J204" s="90" t="n"/>
      <c r="K204" s="87" t="n"/>
      <c r="L204" s="87" t="n"/>
      <c r="M204" s="91" t="n"/>
      <c r="N204" s="92" t="n"/>
      <c r="O204" s="70" t="n"/>
      <c r="P204" s="92" t="n"/>
      <c r="Q204" s="87" t="n"/>
      <c r="R204" s="79" t="str">
        <f>IF($A204="","",IF($C204="","Missing: type",IF(OR($D204="",$D204&lt;=0),"Missing: unit cost",IF($E204="","Missing: unit price",IF($F204="","Missing: daily sales",IF($K204="","Missing: on hand",IF($N204="","Missing: production days",IF($O204="","Missing: freight mode",IF(ISNA(MATCH($O204,Setup!$B$25:$B$29,0)),"Unknown freight mode",IF(AND($L204&lt;&gt;"",$L204&gt;0,$M204=""),"Missing: on-order arrival date","OK"))))))))))</f>
        <v/>
      </c>
      <c r="S204" s="78" t="str">
        <f>IF($R204&lt;&gt;"OK","",IF($G204="","",ROUND($G204/IF(OR($H204="",$H204&lt;=0),4,$H204)*4,0)))</f>
        <v/>
      </c>
      <c r="T204" s="78" t="str">
        <f>IF($R204&lt;&gt;"OK","",ROUND(IF($G204="",$F204*4*Setup!$C$19,$G204/IF(OR($H204="",$H204&lt;=0),4,$H204)*4*(1+IF($I204="",Setup!$C$16,$I204)))*IF($J204="",1,$J204),0))</f>
        <v/>
      </c>
      <c r="U204" s="78" t="str">
        <f>IF($R204&lt;&gt;"OK","",ROUND($T204*Setup!$C$17,0))</f>
        <v/>
      </c>
      <c r="V204" s="78" t="str">
        <f>IF($R204&lt;&gt;"OK","",ROUND($T204*Setup!$C$18,0))</f>
        <v/>
      </c>
      <c r="W204" s="78" t="str">
        <f>IF($R204&lt;&gt;"OK","",IF($C204="Evergreen",$V204,IF($C204="Seasonal or new",$U204,$T204)))</f>
        <v/>
      </c>
      <c r="X204" s="78" t="str">
        <f>IF($R204&lt;&gt;"OK","",ROUND(($F204*MAX(0,MIN(Setup!$C$13+1,(Setup!$C$5-Setup!$C$7))-Setup!$C$4)+$F204*Setup!$C$8*MAX(0,MIN(Setup!$C$13+1,Setup!$C$5)-MAX((Setup!$C$5-Setup!$C$7),Setup!$C$4))+$W204/4*MAX(0,MIN(Setup!$C$13+1,Setup!$C$5+4)-MAX(Setup!$C$5,Setup!$C$4))+$F204*Setup!$C$14*MAX(0,Setup!$C$13+1-MAX(Setup!$C$5+4,Setup!$C$4))),0))</f>
        <v/>
      </c>
      <c r="Y204" s="78" t="str">
        <f>IF($R204&lt;&gt;"OK","",ROUND($F204*Setup!$C$15,0))</f>
        <v/>
      </c>
      <c r="Z204" s="78" t="str">
        <f>IF($R204&lt;&gt;"OK","",IF(AND($L204&lt;&gt;"",$L204&gt;0),IF($M204&lt;=Setup!$C$13,$L204,0),0))</f>
        <v/>
      </c>
      <c r="AA204" s="78" t="str">
        <f>IF($R204&lt;&gt;"OK","",MAX(0,$X204+$Y204-$K204-$Z204))</f>
        <v/>
      </c>
      <c r="AB204" s="78" t="str">
        <f>IF($R204&lt;&gt;"OK","",IF($AA204=0,0,CEILING(MAX($AA204,IF($Q204="",0,$Q204)),IF(OR($P204="",$P204&lt;=0),1,$P204))))</f>
        <v/>
      </c>
      <c r="AC204" s="78" t="str">
        <f>IF($R204&lt;&gt;"OK","",$AB204*$D204)</f>
        <v/>
      </c>
      <c r="AD204" s="93" t="str">
        <f>IF($R204&lt;&gt;"OK","",INDEX(Setup!$D$25:$D$29,MATCH($O204,Setup!$B$25:$B$29,0)))</f>
        <v/>
      </c>
      <c r="AE204" s="93" t="str">
        <f>IF($R204&lt;&gt;"OK","",$AD204-$N204)</f>
        <v/>
      </c>
      <c r="AF204" s="79" t="str">
        <f>IF($R204&lt;&gt;"OK","",IF($AB204=0,"No order needed",IF($AE204&gt;=$AS204,"Order by the deadline",IF(AND($O204&lt;&gt;"Domestic",Setup!$D$27-$N204&gt;=$AS204),"Late by this mode: fly it",IF(Setup!$D$28-$N204&gt;=$AS204,"Late: Express courier only",IF($AG204&lt;Setup!$C$5,"Tight: lands before Black Friday",IF(AND($O204&lt;&gt;"Domestic",$AT204&lt;Setup!$C$5),"Tight: by Air lands before Black Friday",IF($AS204+$N204+Setup!$C$28+Setup!$C$11&lt;Setup!$C$5,"Tight: by Express lands before Black Friday","Too late: ration"))))))))</f>
        <v/>
      </c>
      <c r="AG204" s="93" t="str">
        <f>IF($R204&lt;&gt;"OK","",IF($AB204=0,"",$AS204+$N204+INDEX(Setup!$C$25:$C$29,MATCH($O204,Setup!$B$25:$B$29,0))+Setup!$C$11))</f>
        <v/>
      </c>
      <c r="AH204" s="93" t="str">
        <f>IF($R204&lt;&gt;"OK","",IF($F204&lt;=0,"",INT(IF($K204&lt;($F204*MAX(0,(Setup!$C$5-Setup!$C$7)-Setup!$C$4)),Setup!$C$4+$K204/$F204,IF($K204&lt;($F204*MAX(0,(Setup!$C$5-Setup!$C$7)-Setup!$C$4))+($F204*Setup!$C$8*MAX(0,Setup!$C$5-MAX((Setup!$C$5-Setup!$C$7),Setup!$C$4))),MAX((Setup!$C$5-Setup!$C$7),Setup!$C$4)+($K204-($F204*MAX(0,(Setup!$C$5-Setup!$C$7)-Setup!$C$4)))/($F204*Setup!$C$8),IF(AND($W204&gt;0,$K204&lt;($F204*MAX(0,(Setup!$C$5-Setup!$C$7)-Setup!$C$4))+($F204*Setup!$C$8*MAX(0,Setup!$C$5-MAX((Setup!$C$5-Setup!$C$7),Setup!$C$4)))+($W204/4*MAX(0,Setup!$C$5+4-MAX(Setup!$C$5,Setup!$C$4)))),MAX(Setup!$C$5,Setup!$C$4)+($K204-($F204*MAX(0,(Setup!$C$5-Setup!$C$7)-Setup!$C$4))-($F204*Setup!$C$8*MAX(0,Setup!$C$5-MAX((Setup!$C$5-Setup!$C$7),Setup!$C$4))))/($W204/4),MAX(Setup!$C$5+4,Setup!$C$4)+($K204-($F204*MAX(0,(Setup!$C$5-Setup!$C$7)-Setup!$C$4))-($F204*Setup!$C$8*MAX(0,Setup!$C$5-MAX((Setup!$C$5-Setup!$C$7),Setup!$C$4)))-($W204/4*MAX(0,Setup!$C$5+4-MAX(Setup!$C$5,Setup!$C$4))))/($F204*Setup!$C$14)))))))</f>
        <v/>
      </c>
      <c r="AI204" s="79" t="str">
        <f>IF($R204&lt;&gt;"OK","",IF(AND($L204&lt;&gt;"",$L204&gt;0,ISNUMBER($AH204),$M204&gt;$AH204),"Runs out before the incoming delivery arrives",IF($AB204=0,"OK",IF($K204+IF(AND($L204&lt;&gt;"",$L204&gt;0),IF($M204&lt;=$AG204,$L204,0),0)&lt;($F204*MAX(0,MIN($AG204,(Setup!$C$5-Setup!$C$7))-Setup!$C$4)+$F204*Setup!$C$8*MAX(0,MIN($AG204,Setup!$C$5)-MAX((Setup!$C$5-Setup!$C$7),Setup!$C$4))+$W204/4*MAX(0,MIN($AG204,Setup!$C$5+4)-MAX(Setup!$C$5,Setup!$C$4))+$F204*Setup!$C$14*MAX(0,$AG204-MAX(Setup!$C$5+4,Setup!$C$4))),"Runs out before this order can land","OK"))))</f>
        <v/>
      </c>
      <c r="AJ204" s="78" t="str">
        <f>IF($R204&lt;&gt;"OK","",IF($AB204=0,0,IF($AL204="Too slow: send it all fast",$AB204,$AR204)))</f>
        <v/>
      </c>
      <c r="AK204" s="78" t="str">
        <f>IF($R204&lt;&gt;"OK","",$AB204-$AJ204)</f>
        <v/>
      </c>
      <c r="AL204" s="78" t="str">
        <f>IF($R204&lt;&gt;"OK","",IF($AB204=0,"",IF($AB204-$AR204=0,"Nothing left over",IF($O204="Domestic",IF($AG204&lt;=Setup!$C$6+Setup!$C$20+1,"Later units can go by Domestic","Too slow: send it all fast"),IF($AS204+$N204+Setup!$C$25+Setup!$C$11&lt;=Setup!$C$6+Setup!$C$20+1,"Later units can go by Ocean long",IF($AS204+$N204+Setup!$C$26+Setup!$C$11&lt;=Setup!$C$6+Setup!$C$20+1,"Later units can go by Ocean short",IF($AS204+$N204+Setup!$C$27+Setup!$C$11&lt;=Setup!$C$6+Setup!$C$20+1,"Later units can go by Air",IF($AS204+$N204+Setup!$C$28+Setup!$C$11&lt;=Setup!$C$6+Setup!$C$20+1,"Later units can go by Express","Too slow: send it all fast"))))))))</f>
        <v/>
      </c>
      <c r="AM204" s="94" t="str">
        <f>IF($R204&lt;&gt;"OK","",$E204-$D204)</f>
        <v/>
      </c>
      <c r="AN204" s="95" t="str">
        <f>IF($R204&lt;&gt;"OK","",($E204-$D204)/$D204)</f>
        <v/>
      </c>
      <c r="AO204" s="95" t="str">
        <f>IF($R204&lt;&gt;"OK","",IF($AB204&gt;0,$AN204+IF($C204="Evergreen",1000,0),""))</f>
        <v/>
      </c>
      <c r="AP204" s="78" t="str">
        <f>IF(OR($R204&lt;&gt;"OK",$AO204=""),"",COUNTIF($AO$6:$AO$205,"&gt;"&amp;$AO204)+COUNTIF($AO$6:$AO204,$AO204))</f>
        <v/>
      </c>
      <c r="AQ204" s="78" t="str">
        <f>IF(OR($R204&lt;&gt;"OK",$AP204=""),"",INDEX('Buy list'!$G$5:$G$204,$AP204))</f>
        <v/>
      </c>
      <c r="AR204" s="78" t="str">
        <f>IF($R204&lt;&gt;"OK","",IF($AB204=0,0,MIN($AB204,CEILING(MAX(0,($F204*MAX(0,MIN((Setup!$C$6+1+Setup!$C$20),(Setup!$C$5-Setup!$C$7))-Setup!$C$4)+$F204*Setup!$C$8*MAX(0,MIN((Setup!$C$6+1+Setup!$C$20),Setup!$C$5)-MAX((Setup!$C$5-Setup!$C$7),Setup!$C$4))+$W204/4*MAX(0,MIN((Setup!$C$6+1+Setup!$C$20),Setup!$C$5+4)-MAX(Setup!$C$5,Setup!$C$4))+$F204*Setup!$C$14*MAX(0,(Setup!$C$6+1+Setup!$C$20)-MAX(Setup!$C$5+4,Setup!$C$4)))+$Y204-$K204-IF(AND($L204&lt;&gt;"",$L204&gt;0),IF($M204&lt;=Setup!$C$10,$L204,0),0)),IF(OR($P204="",$P204&lt;=0),1,$P204)))))</f>
        <v/>
      </c>
      <c r="AS204" s="96" t="str">
        <f>IF($R204&lt;&gt;"OK","",IF(AND($O204&lt;&gt;"Domestic",ISNUMBER(Setup!$C$22),Setup!$C$22&gt;Setup!$C$4),Setup!$C$22,Setup!$C$4))</f>
        <v/>
      </c>
      <c r="AT204" s="96" t="str">
        <f>IF($R204&lt;&gt;"OK","",IF($AB204=0,"",IF($O204="Domestic",$AG204,$AS204+$N204+Setup!$C$27+Setup!$C$11)))</f>
        <v/>
      </c>
    </row>
    <row r="205" ht="15" customHeight="1" s="46">
      <c r="A205" s="70" t="n"/>
      <c r="B205" s="70" t="n"/>
      <c r="C205" s="70" t="n"/>
      <c r="D205" s="85" t="n"/>
      <c r="E205" s="85" t="n"/>
      <c r="F205" s="86" t="n"/>
      <c r="G205" s="87" t="n"/>
      <c r="H205" s="88" t="n"/>
      <c r="I205" s="89" t="n"/>
      <c r="J205" s="90" t="n"/>
      <c r="K205" s="87" t="n"/>
      <c r="L205" s="87" t="n"/>
      <c r="M205" s="91" t="n"/>
      <c r="N205" s="92" t="n"/>
      <c r="O205" s="70" t="n"/>
      <c r="P205" s="92" t="n"/>
      <c r="Q205" s="87" t="n"/>
      <c r="R205" s="79" t="str">
        <f>IF($A205="","",IF($C205="","Missing: type",IF(OR($D205="",$D205&lt;=0),"Missing: unit cost",IF($E205="","Missing: unit price",IF($F205="","Missing: daily sales",IF($K205="","Missing: on hand",IF($N205="","Missing: production days",IF($O205="","Missing: freight mode",IF(ISNA(MATCH($O205,Setup!$B$25:$B$29,0)),"Unknown freight mode",IF(AND($L205&lt;&gt;"",$L205&gt;0,$M205=""),"Missing: on-order arrival date","OK"))))))))))</f>
        <v/>
      </c>
      <c r="S205" s="78" t="str">
        <f>IF($R205&lt;&gt;"OK","",IF($G205="","",ROUND($G205/IF(OR($H205="",$H205&lt;=0),4,$H205)*4,0)))</f>
        <v/>
      </c>
      <c r="T205" s="78" t="str">
        <f>IF($R205&lt;&gt;"OK","",ROUND(IF($G205="",$F205*4*Setup!$C$19,$G205/IF(OR($H205="",$H205&lt;=0),4,$H205)*4*(1+IF($I205="",Setup!$C$16,$I205)))*IF($J205="",1,$J205),0))</f>
        <v/>
      </c>
      <c r="U205" s="78" t="str">
        <f>IF($R205&lt;&gt;"OK","",ROUND($T205*Setup!$C$17,0))</f>
        <v/>
      </c>
      <c r="V205" s="78" t="str">
        <f>IF($R205&lt;&gt;"OK","",ROUND($T205*Setup!$C$18,0))</f>
        <v/>
      </c>
      <c r="W205" s="78" t="str">
        <f>IF($R205&lt;&gt;"OK","",IF($C205="Evergreen",$V205,IF($C205="Seasonal or new",$U205,$T205)))</f>
        <v/>
      </c>
      <c r="X205" s="78" t="str">
        <f>IF($R205&lt;&gt;"OK","",ROUND(($F205*MAX(0,MIN(Setup!$C$13+1,(Setup!$C$5-Setup!$C$7))-Setup!$C$4)+$F205*Setup!$C$8*MAX(0,MIN(Setup!$C$13+1,Setup!$C$5)-MAX((Setup!$C$5-Setup!$C$7),Setup!$C$4))+$W205/4*MAX(0,MIN(Setup!$C$13+1,Setup!$C$5+4)-MAX(Setup!$C$5,Setup!$C$4))+$F205*Setup!$C$14*MAX(0,Setup!$C$13+1-MAX(Setup!$C$5+4,Setup!$C$4))),0))</f>
        <v/>
      </c>
      <c r="Y205" s="78" t="str">
        <f>IF($R205&lt;&gt;"OK","",ROUND($F205*Setup!$C$15,0))</f>
        <v/>
      </c>
      <c r="Z205" s="78" t="str">
        <f>IF($R205&lt;&gt;"OK","",IF(AND($L205&lt;&gt;"",$L205&gt;0),IF($M205&lt;=Setup!$C$13,$L205,0),0))</f>
        <v/>
      </c>
      <c r="AA205" s="78" t="str">
        <f>IF($R205&lt;&gt;"OK","",MAX(0,$X205+$Y205-$K205-$Z205))</f>
        <v/>
      </c>
      <c r="AB205" s="78" t="str">
        <f>IF($R205&lt;&gt;"OK","",IF($AA205=0,0,CEILING(MAX($AA205,IF($Q205="",0,$Q205)),IF(OR($P205="",$P205&lt;=0),1,$P205))))</f>
        <v/>
      </c>
      <c r="AC205" s="78" t="str">
        <f>IF($R205&lt;&gt;"OK","",$AB205*$D205)</f>
        <v/>
      </c>
      <c r="AD205" s="93" t="str">
        <f>IF($R205&lt;&gt;"OK","",INDEX(Setup!$D$25:$D$29,MATCH($O205,Setup!$B$25:$B$29,0)))</f>
        <v/>
      </c>
      <c r="AE205" s="93" t="str">
        <f>IF($R205&lt;&gt;"OK","",$AD205-$N205)</f>
        <v/>
      </c>
      <c r="AF205" s="79" t="str">
        <f>IF($R205&lt;&gt;"OK","",IF($AB205=0,"No order needed",IF($AE205&gt;=$AS205,"Order by the deadline",IF(AND($O205&lt;&gt;"Domestic",Setup!$D$27-$N205&gt;=$AS205),"Late by this mode: fly it",IF(Setup!$D$28-$N205&gt;=$AS205,"Late: Express courier only",IF($AG205&lt;Setup!$C$5,"Tight: lands before Black Friday",IF(AND($O205&lt;&gt;"Domestic",$AT205&lt;Setup!$C$5),"Tight: by Air lands before Black Friday",IF($AS205+$N205+Setup!$C$28+Setup!$C$11&lt;Setup!$C$5,"Tight: by Express lands before Black Friday","Too late: ration"))))))))</f>
        <v/>
      </c>
      <c r="AG205" s="93" t="str">
        <f>IF($R205&lt;&gt;"OK","",IF($AB205=0,"",$AS205+$N205+INDEX(Setup!$C$25:$C$29,MATCH($O205,Setup!$B$25:$B$29,0))+Setup!$C$11))</f>
        <v/>
      </c>
      <c r="AH205" s="93" t="str">
        <f>IF($R205&lt;&gt;"OK","",IF($F205&lt;=0,"",INT(IF($K205&lt;($F205*MAX(0,(Setup!$C$5-Setup!$C$7)-Setup!$C$4)),Setup!$C$4+$K205/$F205,IF($K205&lt;($F205*MAX(0,(Setup!$C$5-Setup!$C$7)-Setup!$C$4))+($F205*Setup!$C$8*MAX(0,Setup!$C$5-MAX((Setup!$C$5-Setup!$C$7),Setup!$C$4))),MAX((Setup!$C$5-Setup!$C$7),Setup!$C$4)+($K205-($F205*MAX(0,(Setup!$C$5-Setup!$C$7)-Setup!$C$4)))/($F205*Setup!$C$8),IF(AND($W205&gt;0,$K205&lt;($F205*MAX(0,(Setup!$C$5-Setup!$C$7)-Setup!$C$4))+($F205*Setup!$C$8*MAX(0,Setup!$C$5-MAX((Setup!$C$5-Setup!$C$7),Setup!$C$4)))+($W205/4*MAX(0,Setup!$C$5+4-MAX(Setup!$C$5,Setup!$C$4)))),MAX(Setup!$C$5,Setup!$C$4)+($K205-($F205*MAX(0,(Setup!$C$5-Setup!$C$7)-Setup!$C$4))-($F205*Setup!$C$8*MAX(0,Setup!$C$5-MAX((Setup!$C$5-Setup!$C$7),Setup!$C$4))))/($W205/4),MAX(Setup!$C$5+4,Setup!$C$4)+($K205-($F205*MAX(0,(Setup!$C$5-Setup!$C$7)-Setup!$C$4))-($F205*Setup!$C$8*MAX(0,Setup!$C$5-MAX((Setup!$C$5-Setup!$C$7),Setup!$C$4)))-($W205/4*MAX(0,Setup!$C$5+4-MAX(Setup!$C$5,Setup!$C$4))))/($F205*Setup!$C$14)))))))</f>
        <v/>
      </c>
      <c r="AI205" s="79" t="str">
        <f>IF($R205&lt;&gt;"OK","",IF(AND($L205&lt;&gt;"",$L205&gt;0,ISNUMBER($AH205),$M205&gt;$AH205),"Runs out before the incoming delivery arrives",IF($AB205=0,"OK",IF($K205+IF(AND($L205&lt;&gt;"",$L205&gt;0),IF($M205&lt;=$AG205,$L205,0),0)&lt;($F205*MAX(0,MIN($AG205,(Setup!$C$5-Setup!$C$7))-Setup!$C$4)+$F205*Setup!$C$8*MAX(0,MIN($AG205,Setup!$C$5)-MAX((Setup!$C$5-Setup!$C$7),Setup!$C$4))+$W205/4*MAX(0,MIN($AG205,Setup!$C$5+4)-MAX(Setup!$C$5,Setup!$C$4))+$F205*Setup!$C$14*MAX(0,$AG205-MAX(Setup!$C$5+4,Setup!$C$4))),"Runs out before this order can land","OK"))))</f>
        <v/>
      </c>
      <c r="AJ205" s="78" t="str">
        <f>IF($R205&lt;&gt;"OK","",IF($AB205=0,0,IF($AL205="Too slow: send it all fast",$AB205,$AR205)))</f>
        <v/>
      </c>
      <c r="AK205" s="78" t="str">
        <f>IF($R205&lt;&gt;"OK","",$AB205-$AJ205)</f>
        <v/>
      </c>
      <c r="AL205" s="78" t="str">
        <f>IF($R205&lt;&gt;"OK","",IF($AB205=0,"",IF($AB205-$AR205=0,"Nothing left over",IF($O205="Domestic",IF($AG205&lt;=Setup!$C$6+Setup!$C$20+1,"Later units can go by Domestic","Too slow: send it all fast"),IF($AS205+$N205+Setup!$C$25+Setup!$C$11&lt;=Setup!$C$6+Setup!$C$20+1,"Later units can go by Ocean long",IF($AS205+$N205+Setup!$C$26+Setup!$C$11&lt;=Setup!$C$6+Setup!$C$20+1,"Later units can go by Ocean short",IF($AS205+$N205+Setup!$C$27+Setup!$C$11&lt;=Setup!$C$6+Setup!$C$20+1,"Later units can go by Air",IF($AS205+$N205+Setup!$C$28+Setup!$C$11&lt;=Setup!$C$6+Setup!$C$20+1,"Later units can go by Express","Too slow: send it all fast"))))))))</f>
        <v/>
      </c>
      <c r="AM205" s="94" t="str">
        <f>IF($R205&lt;&gt;"OK","",$E205-$D205)</f>
        <v/>
      </c>
      <c r="AN205" s="95" t="str">
        <f>IF($R205&lt;&gt;"OK","",($E205-$D205)/$D205)</f>
        <v/>
      </c>
      <c r="AO205" s="95" t="str">
        <f>IF($R205&lt;&gt;"OK","",IF($AB205&gt;0,$AN205+IF($C205="Evergreen",1000,0),""))</f>
        <v/>
      </c>
      <c r="AP205" s="78" t="str">
        <f>IF(OR($R205&lt;&gt;"OK",$AO205=""),"",COUNTIF($AO$6:$AO$205,"&gt;"&amp;$AO205)+COUNTIF($AO$6:$AO205,$AO205))</f>
        <v/>
      </c>
      <c r="AQ205" s="78" t="str">
        <f>IF(OR($R205&lt;&gt;"OK",$AP205=""),"",INDEX('Buy list'!$G$5:$G$204,$AP205))</f>
        <v/>
      </c>
      <c r="AR205" s="78" t="str">
        <f>IF($R205&lt;&gt;"OK","",IF($AB205=0,0,MIN($AB205,CEILING(MAX(0,($F205*MAX(0,MIN((Setup!$C$6+1+Setup!$C$20),(Setup!$C$5-Setup!$C$7))-Setup!$C$4)+$F205*Setup!$C$8*MAX(0,MIN((Setup!$C$6+1+Setup!$C$20),Setup!$C$5)-MAX((Setup!$C$5-Setup!$C$7),Setup!$C$4))+$W205/4*MAX(0,MIN((Setup!$C$6+1+Setup!$C$20),Setup!$C$5+4)-MAX(Setup!$C$5,Setup!$C$4))+$F205*Setup!$C$14*MAX(0,(Setup!$C$6+1+Setup!$C$20)-MAX(Setup!$C$5+4,Setup!$C$4)))+$Y205-$K205-IF(AND($L205&lt;&gt;"",$L205&gt;0),IF($M205&lt;=Setup!$C$10,$L205,0),0)),IF(OR($P205="",$P205&lt;=0),1,$P205)))))</f>
        <v/>
      </c>
      <c r="AS205" s="96" t="str">
        <f>IF($R205&lt;&gt;"OK","",IF(AND($O205&lt;&gt;"Domestic",ISNUMBER(Setup!$C$22),Setup!$C$22&gt;Setup!$C$4),Setup!$C$22,Setup!$C$4))</f>
        <v/>
      </c>
      <c r="AT205" s="96" t="str">
        <f>IF($R205&lt;&gt;"OK","",IF($AB205=0,"",IF($O205="Domestic",$AG205,$AS205+$N205+Setup!$C$27+Setup!$C$11)))</f>
        <v/>
      </c>
    </row>
  </sheetData>
  <sheetProtection selectLockedCells="0" selectUnlockedCells="0" sheet="1" objects="0" insertRows="1" insertHyperlinks="1" autoFilter="1" scenarios="0" formatColumns="0" deleteColumns="1" insertColumns="1" pivotTables="1" deleteRows="1" formatCells="0" formatRows="0" sort="1"/>
  <mergeCells count="7">
    <mergeCell ref="AH4:AI4"/>
    <mergeCell ref="AD4:AG4"/>
    <mergeCell ref="A4:Q4"/>
    <mergeCell ref="X4:AC4"/>
    <mergeCell ref="S4:W4"/>
    <mergeCell ref="AM4:AQ4"/>
    <mergeCell ref="AJ4:AL4"/>
  </mergeCells>
  <conditionalFormatting sqref="R6:R205">
    <cfRule type="expression" rank="0" priority="2" equalAverage="0" aboveAverage="0" dxfId="0" text="" percent="0" bottom="0">
      <formula>AND($R6&lt;&gt;"",$R6&lt;&gt;"OK")</formula>
    </cfRule>
  </conditionalFormatting>
  <conditionalFormatting sqref="AF6:AF205">
    <cfRule type="expression" rank="0" priority="3" equalAverage="0" aboveAverage="0" dxfId="0" text="" percent="0" bottom="0">
      <formula>$AF6="Too late: ration"</formula>
    </cfRule>
    <cfRule type="expression" rank="0" priority="4" equalAverage="0" aboveAverage="0" dxfId="1" text="" percent="0" bottom="0">
      <formula>LEFT($AF6,4)="Late"</formula>
    </cfRule>
    <cfRule type="expression" rank="0" priority="5" equalAverage="0" aboveAverage="0" dxfId="2" text="" percent="0" bottom="0">
      <formula>$AF6="Order by the deadline"</formula>
    </cfRule>
    <cfRule type="expression" priority="8" dxfId="1">
      <formula>LEFT($AF6,5)="Tight"</formula>
    </cfRule>
  </conditionalFormatting>
  <conditionalFormatting sqref="AI6:AI205">
    <cfRule type="expression" rank="0" priority="6" equalAverage="0" aboveAverage="0" dxfId="0" text="" percent="0" bottom="0">
      <formula>LEFT($AI6,8)="Runs out"</formula>
    </cfRule>
  </conditionalFormatting>
  <conditionalFormatting sqref="AL6:AL205">
    <cfRule type="expression" rank="0" priority="7" equalAverage="0" aboveAverage="0" dxfId="1" text="" percent="0" bottom="0">
      <formula>LEFT($AL6,8)="Too slow"</formula>
    </cfRule>
  </conditionalFormatting>
  <conditionalFormatting sqref="AQ6:AQ205">
    <cfRule type="expression" rank="0" priority="8" equalAverage="0" aboveAverage="0" dxfId="0" text="" percent="0" bottom="0">
      <formula>$AQ6="Cut"</formula>
    </cfRule>
  </conditionalFormatting>
  <dataValidations count="2">
    <dataValidation sqref="C6:C205" showDropDown="0" showInputMessage="0" showErrorMessage="0" allowBlank="1" type="list" errorStyle="stop" operator="between">
      <formula1>"Evergreen,Steady,Seasonal or new"</formula1>
      <formula2>0</formula2>
    </dataValidation>
    <dataValidation sqref="O6:O205" showDropDown="0" showInputMessage="0" showErrorMessage="0" allowBlank="1" type="list" errorStyle="stop" operator="between">
      <formula1>Setup!$B$25:$B$29</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B2:H4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45" min="1" max="1"/>
    <col width="20" customWidth="1" style="45" min="2" max="2"/>
    <col width="14" customWidth="1" style="45" min="3" max="3"/>
    <col width="16" customWidth="1" style="45" min="4" max="4"/>
    <col width="18" customWidth="1" style="45" min="5" max="5"/>
    <col width="12" customWidth="1" style="45" min="6" max="6"/>
    <col width="14" customWidth="1" style="45" min="7" max="7"/>
    <col width="52" customWidth="1" style="45" min="8" max="8"/>
  </cols>
  <sheetData>
    <row r="2" ht="19.7" customHeight="1" s="46">
      <c r="B2" s="47" t="inlineStr">
        <is>
          <t>Weekend</t>
        </is>
      </c>
    </row>
    <row r="3" ht="15" customHeight="1" s="46">
      <c r="B3" s="48" t="inlineStr">
        <is>
          <t>Update every few hours during the sale. Row 8 is an example: overwrite it.</t>
        </is>
      </c>
    </row>
    <row r="5" ht="15" customHeight="1" s="46">
      <c r="B5" s="50" t="inlineStr">
        <is>
          <t>Hours left until the sale ends</t>
        </is>
      </c>
      <c r="E5" s="70" t="n">
        <v>60</v>
      </c>
    </row>
    <row r="7" ht="43.5" customHeight="1" s="46">
      <c r="B7" s="97" t="inlineStr">
        <is>
          <t>SKU</t>
        </is>
      </c>
      <c r="C7" s="97" t="inlineStr">
        <is>
          <t>On hand now</t>
        </is>
      </c>
      <c r="D7" s="97" t="inlineStr">
        <is>
          <t>Units sold in the last 6 hours</t>
        </is>
      </c>
      <c r="E7" s="97" t="inlineStr">
        <is>
          <t>Confirmed PO inbound? (Y/N)</t>
        </is>
      </c>
      <c r="F7" s="97" t="inlineStr">
        <is>
          <t>Units per hour</t>
        </is>
      </c>
      <c r="G7" s="97" t="inlineStr">
        <is>
          <t>Hours of cover</t>
        </is>
      </c>
      <c r="H7" s="97" t="inlineStr">
        <is>
          <t>What to do</t>
        </is>
      </c>
    </row>
    <row r="8" ht="15" customHeight="1" s="46">
      <c r="B8" s="70" t="inlineStr">
        <is>
          <t>HOODIE-BLK</t>
        </is>
      </c>
      <c r="C8" s="70" t="n">
        <v>420</v>
      </c>
      <c r="D8" s="70" t="n">
        <v>96</v>
      </c>
      <c r="E8" s="70" t="inlineStr">
        <is>
          <t>N</t>
        </is>
      </c>
      <c r="F8" s="98">
        <f>IF(OR(B8="",D8=""),"",D8/6)</f>
        <v>16</v>
      </c>
      <c r="G8" s="99">
        <f>IF(F8="","",IF(F8=0,"No sales",C8/F8))</f>
        <v>26.25</v>
      </c>
      <c r="H8" s="100" t="str">
        <f>IF(G8="","",IF(G8="No sales","Selling below plan: bundle it or raise its placement",IF(G8&gt;=$E$5,"Keep the offer running",IF(G8&gt;=$E$5-24,"Stop paid ads to this SKU, leave it in the sale",IF(G8&gt;24,"Pull from the sitewide discount, promote the substitute",IF(UPPER(E8)="Y","Switch to preorder with the real ship date","Let it sell out, turn on back-in-stock signup"))))))</f>
        <v>Pull from the sitewide discount, promote the substitute</v>
      </c>
    </row>
    <row r="9" ht="15" customHeight="1" s="46">
      <c r="B9" s="70" t="n"/>
      <c r="C9" s="70" t="n"/>
      <c r="D9" s="70" t="n"/>
      <c r="E9" s="70" t="n"/>
      <c r="F9" s="98" t="str">
        <f>IF(OR(B9="",D9=""),"",D9/6)</f>
        <v/>
      </c>
      <c r="G9" s="99" t="str">
        <f>IF(F9="","",IF(F9=0,"No sales",C9/F9))</f>
        <v/>
      </c>
      <c r="H9" s="100" t="str">
        <f>IF(G9="","",IF(G9="No sales","Selling below plan: bundle it or raise its placement",IF(G9&gt;=$E$5,"Keep the offer running",IF(G9&gt;=$E$5-24,"Stop paid ads to this SKU, leave it in the sale",IF(G9&gt;24,"Pull from the sitewide discount, promote the substitute",IF(UPPER(E9)="Y","Switch to preorder with the real ship date","Let it sell out, turn on back-in-stock signup"))))))</f>
        <v/>
      </c>
    </row>
    <row r="10" ht="15" customHeight="1" s="46">
      <c r="B10" s="70" t="n"/>
      <c r="C10" s="70" t="n"/>
      <c r="D10" s="70" t="n"/>
      <c r="E10" s="70" t="n"/>
      <c r="F10" s="98" t="str">
        <f>IF(OR(B10="",D10=""),"",D10/6)</f>
        <v/>
      </c>
      <c r="G10" s="99" t="str">
        <f>IF(F10="","",IF(F10=0,"No sales",C10/F10))</f>
        <v/>
      </c>
      <c r="H10" s="100" t="str">
        <f>IF(G10="","",IF(G10="No sales","Selling below plan: bundle it or raise its placement",IF(G10&gt;=$E$5,"Keep the offer running",IF(G10&gt;=$E$5-24,"Stop paid ads to this SKU, leave it in the sale",IF(G10&gt;24,"Pull from the sitewide discount, promote the substitute",IF(UPPER(E10)="Y","Switch to preorder with the real ship date","Let it sell out, turn on back-in-stock signup"))))))</f>
        <v/>
      </c>
    </row>
    <row r="11" ht="15" customHeight="1" s="46">
      <c r="B11" s="70" t="n"/>
      <c r="C11" s="70" t="n"/>
      <c r="D11" s="70" t="n"/>
      <c r="E11" s="70" t="n"/>
      <c r="F11" s="98" t="str">
        <f>IF(OR(B11="",D11=""),"",D11/6)</f>
        <v/>
      </c>
      <c r="G11" s="99" t="str">
        <f>IF(F11="","",IF(F11=0,"No sales",C11/F11))</f>
        <v/>
      </c>
      <c r="H11" s="100" t="str">
        <f>IF(G11="","",IF(G11="No sales","Selling below plan: bundle it or raise its placement",IF(G11&gt;=$E$5,"Keep the offer running",IF(G11&gt;=$E$5-24,"Stop paid ads to this SKU, leave it in the sale",IF(G11&gt;24,"Pull from the sitewide discount, promote the substitute",IF(UPPER(E11)="Y","Switch to preorder with the real ship date","Let it sell out, turn on back-in-stock signup"))))))</f>
        <v/>
      </c>
    </row>
    <row r="12" ht="15" customHeight="1" s="46">
      <c r="B12" s="70" t="n"/>
      <c r="C12" s="70" t="n"/>
      <c r="D12" s="70" t="n"/>
      <c r="E12" s="70" t="n"/>
      <c r="F12" s="98" t="str">
        <f>IF(OR(B12="",D12=""),"",D12/6)</f>
        <v/>
      </c>
      <c r="G12" s="99" t="str">
        <f>IF(F12="","",IF(F12=0,"No sales",C12/F12))</f>
        <v/>
      </c>
      <c r="H12" s="100" t="str">
        <f>IF(G12="","",IF(G12="No sales","Selling below plan: bundle it or raise its placement",IF(G12&gt;=$E$5,"Keep the offer running",IF(G12&gt;=$E$5-24,"Stop paid ads to this SKU, leave it in the sale",IF(G12&gt;24,"Pull from the sitewide discount, promote the substitute",IF(UPPER(E12)="Y","Switch to preorder with the real ship date","Let it sell out, turn on back-in-stock signup"))))))</f>
        <v/>
      </c>
    </row>
    <row r="13" ht="15" customHeight="1" s="46">
      <c r="B13" s="70" t="n"/>
      <c r="C13" s="70" t="n"/>
      <c r="D13" s="70" t="n"/>
      <c r="E13" s="70" t="n"/>
      <c r="F13" s="98" t="str">
        <f>IF(OR(B13="",D13=""),"",D13/6)</f>
        <v/>
      </c>
      <c r="G13" s="99" t="str">
        <f>IF(F13="","",IF(F13=0,"No sales",C13/F13))</f>
        <v/>
      </c>
      <c r="H13" s="100" t="str">
        <f>IF(G13="","",IF(G13="No sales","Selling below plan: bundle it or raise its placement",IF(G13&gt;=$E$5,"Keep the offer running",IF(G13&gt;=$E$5-24,"Stop paid ads to this SKU, leave it in the sale",IF(G13&gt;24,"Pull from the sitewide discount, promote the substitute",IF(UPPER(E13)="Y","Switch to preorder with the real ship date","Let it sell out, turn on back-in-stock signup"))))))</f>
        <v/>
      </c>
    </row>
    <row r="14" ht="15" customHeight="1" s="46">
      <c r="B14" s="70" t="n"/>
      <c r="C14" s="70" t="n"/>
      <c r="D14" s="70" t="n"/>
      <c r="E14" s="70" t="n"/>
      <c r="F14" s="98" t="str">
        <f>IF(OR(B14="",D14=""),"",D14/6)</f>
        <v/>
      </c>
      <c r="G14" s="99" t="str">
        <f>IF(F14="","",IF(F14=0,"No sales",C14/F14))</f>
        <v/>
      </c>
      <c r="H14" s="100" t="str">
        <f>IF(G14="","",IF(G14="No sales","Selling below plan: bundle it or raise its placement",IF(G14&gt;=$E$5,"Keep the offer running",IF(G14&gt;=$E$5-24,"Stop paid ads to this SKU, leave it in the sale",IF(G14&gt;24,"Pull from the sitewide discount, promote the substitute",IF(UPPER(E14)="Y","Switch to preorder with the real ship date","Let it sell out, turn on back-in-stock signup"))))))</f>
        <v/>
      </c>
    </row>
    <row r="15" ht="15" customHeight="1" s="46">
      <c r="B15" s="70" t="n"/>
      <c r="C15" s="70" t="n"/>
      <c r="D15" s="70" t="n"/>
      <c r="E15" s="70" t="n"/>
      <c r="F15" s="98" t="str">
        <f>IF(OR(B15="",D15=""),"",D15/6)</f>
        <v/>
      </c>
      <c r="G15" s="99" t="str">
        <f>IF(F15="","",IF(F15=0,"No sales",C15/F15))</f>
        <v/>
      </c>
      <c r="H15" s="100" t="str">
        <f>IF(G15="","",IF(G15="No sales","Selling below plan: bundle it or raise its placement",IF(G15&gt;=$E$5,"Keep the offer running",IF(G15&gt;=$E$5-24,"Stop paid ads to this SKU, leave it in the sale",IF(G15&gt;24,"Pull from the sitewide discount, promote the substitute",IF(UPPER(E15)="Y","Switch to preorder with the real ship date","Let it sell out, turn on back-in-stock signup"))))))</f>
        <v/>
      </c>
    </row>
    <row r="16" ht="15" customHeight="1" s="46">
      <c r="B16" s="70" t="n"/>
      <c r="C16" s="70" t="n"/>
      <c r="D16" s="70" t="n"/>
      <c r="E16" s="70" t="n"/>
      <c r="F16" s="98" t="str">
        <f>IF(OR(B16="",D16=""),"",D16/6)</f>
        <v/>
      </c>
      <c r="G16" s="99" t="str">
        <f>IF(F16="","",IF(F16=0,"No sales",C16/F16))</f>
        <v/>
      </c>
      <c r="H16" s="100" t="str">
        <f>IF(G16="","",IF(G16="No sales","Selling below plan: bundle it or raise its placement",IF(G16&gt;=$E$5,"Keep the offer running",IF(G16&gt;=$E$5-24,"Stop paid ads to this SKU, leave it in the sale",IF(G16&gt;24,"Pull from the sitewide discount, promote the substitute",IF(UPPER(E16)="Y","Switch to preorder with the real ship date","Let it sell out, turn on back-in-stock signup"))))))</f>
        <v/>
      </c>
    </row>
    <row r="17" ht="15" customHeight="1" s="46">
      <c r="B17" s="70" t="n"/>
      <c r="C17" s="70" t="n"/>
      <c r="D17" s="70" t="n"/>
      <c r="E17" s="70" t="n"/>
      <c r="F17" s="98" t="str">
        <f>IF(OR(B17="",D17=""),"",D17/6)</f>
        <v/>
      </c>
      <c r="G17" s="99" t="str">
        <f>IF(F17="","",IF(F17=0,"No sales",C17/F17))</f>
        <v/>
      </c>
      <c r="H17" s="100" t="str">
        <f>IF(G17="","",IF(G17="No sales","Selling below plan: bundle it or raise its placement",IF(G17&gt;=$E$5,"Keep the offer running",IF(G17&gt;=$E$5-24,"Stop paid ads to this SKU, leave it in the sale",IF(G17&gt;24,"Pull from the sitewide discount, promote the substitute",IF(UPPER(E17)="Y","Switch to preorder with the real ship date","Let it sell out, turn on back-in-stock signup"))))))</f>
        <v/>
      </c>
    </row>
    <row r="18" ht="15" customHeight="1" s="46">
      <c r="B18" s="70" t="n"/>
      <c r="C18" s="70" t="n"/>
      <c r="D18" s="70" t="n"/>
      <c r="E18" s="70" t="n"/>
      <c r="F18" s="98" t="str">
        <f>IF(OR(B18="",D18=""),"",D18/6)</f>
        <v/>
      </c>
      <c r="G18" s="99" t="str">
        <f>IF(F18="","",IF(F18=0,"No sales",C18/F18))</f>
        <v/>
      </c>
      <c r="H18" s="100" t="str">
        <f>IF(G18="","",IF(G18="No sales","Selling below plan: bundle it or raise its placement",IF(G18&gt;=$E$5,"Keep the offer running",IF(G18&gt;=$E$5-24,"Stop paid ads to this SKU, leave it in the sale",IF(G18&gt;24,"Pull from the sitewide discount, promote the substitute",IF(UPPER(E18)="Y","Switch to preorder with the real ship date","Let it sell out, turn on back-in-stock signup"))))))</f>
        <v/>
      </c>
    </row>
    <row r="19" ht="15" customHeight="1" s="46">
      <c r="B19" s="70" t="n"/>
      <c r="C19" s="70" t="n"/>
      <c r="D19" s="70" t="n"/>
      <c r="E19" s="70" t="n"/>
      <c r="F19" s="98" t="str">
        <f>IF(OR(B19="",D19=""),"",D19/6)</f>
        <v/>
      </c>
      <c r="G19" s="99" t="str">
        <f>IF(F19="","",IF(F19=0,"No sales",C19/F19))</f>
        <v/>
      </c>
      <c r="H19" s="100" t="str">
        <f>IF(G19="","",IF(G19="No sales","Selling below plan: bundle it or raise its placement",IF(G19&gt;=$E$5,"Keep the offer running",IF(G19&gt;=$E$5-24,"Stop paid ads to this SKU, leave it in the sale",IF(G19&gt;24,"Pull from the sitewide discount, promote the substitute",IF(UPPER(E19)="Y","Switch to preorder with the real ship date","Let it sell out, turn on back-in-stock signup"))))))</f>
        <v/>
      </c>
    </row>
    <row r="20" ht="15" customHeight="1" s="46">
      <c r="B20" s="70" t="n"/>
      <c r="C20" s="70" t="n"/>
      <c r="D20" s="70" t="n"/>
      <c r="E20" s="70" t="n"/>
      <c r="F20" s="98" t="str">
        <f>IF(OR(B20="",D20=""),"",D20/6)</f>
        <v/>
      </c>
      <c r="G20" s="99" t="str">
        <f>IF(F20="","",IF(F20=0,"No sales",C20/F20))</f>
        <v/>
      </c>
      <c r="H20" s="100" t="str">
        <f>IF(G20="","",IF(G20="No sales","Selling below plan: bundle it or raise its placement",IF(G20&gt;=$E$5,"Keep the offer running",IF(G20&gt;=$E$5-24,"Stop paid ads to this SKU, leave it in the sale",IF(G20&gt;24,"Pull from the sitewide discount, promote the substitute",IF(UPPER(E20)="Y","Switch to preorder with the real ship date","Let it sell out, turn on back-in-stock signup"))))))</f>
        <v/>
      </c>
    </row>
    <row r="21" ht="15" customHeight="1" s="46">
      <c r="B21" s="70" t="n"/>
      <c r="C21" s="70" t="n"/>
      <c r="D21" s="70" t="n"/>
      <c r="E21" s="70" t="n"/>
      <c r="F21" s="98" t="str">
        <f>IF(OR(B21="",D21=""),"",D21/6)</f>
        <v/>
      </c>
      <c r="G21" s="99" t="str">
        <f>IF(F21="","",IF(F21=0,"No sales",C21/F21))</f>
        <v/>
      </c>
      <c r="H21" s="100" t="str">
        <f>IF(G21="","",IF(G21="No sales","Selling below plan: bundle it or raise its placement",IF(G21&gt;=$E$5,"Keep the offer running",IF(G21&gt;=$E$5-24,"Stop paid ads to this SKU, leave it in the sale",IF(G21&gt;24,"Pull from the sitewide discount, promote the substitute",IF(UPPER(E21)="Y","Switch to preorder with the real ship date","Let it sell out, turn on back-in-stock signup"))))))</f>
        <v/>
      </c>
    </row>
    <row r="22" ht="15" customHeight="1" s="46">
      <c r="B22" s="70" t="n"/>
      <c r="C22" s="70" t="n"/>
      <c r="D22" s="70" t="n"/>
      <c r="E22" s="70" t="n"/>
      <c r="F22" s="98" t="str">
        <f>IF(OR(B22="",D22=""),"",D22/6)</f>
        <v/>
      </c>
      <c r="G22" s="99" t="str">
        <f>IF(F22="","",IF(F22=0,"No sales",C22/F22))</f>
        <v/>
      </c>
      <c r="H22" s="100" t="str">
        <f>IF(G22="","",IF(G22="No sales","Selling below plan: bundle it or raise its placement",IF(G22&gt;=$E$5,"Keep the offer running",IF(G22&gt;=$E$5-24,"Stop paid ads to this SKU, leave it in the sale",IF(G22&gt;24,"Pull from the sitewide discount, promote the substitute",IF(UPPER(E22)="Y","Switch to preorder with the real ship date","Let it sell out, turn on back-in-stock signup"))))))</f>
        <v/>
      </c>
    </row>
    <row r="23" ht="15" customHeight="1" s="46">
      <c r="B23" s="70" t="n"/>
      <c r="C23" s="70" t="n"/>
      <c r="D23" s="70" t="n"/>
      <c r="E23" s="70" t="n"/>
      <c r="F23" s="98" t="str">
        <f>IF(OR(B23="",D23=""),"",D23/6)</f>
        <v/>
      </c>
      <c r="G23" s="99" t="str">
        <f>IF(F23="","",IF(F23=0,"No sales",C23/F23))</f>
        <v/>
      </c>
      <c r="H23" s="100" t="str">
        <f>IF(G23="","",IF(G23="No sales","Selling below plan: bundle it or raise its placement",IF(G23&gt;=$E$5,"Keep the offer running",IF(G23&gt;=$E$5-24,"Stop paid ads to this SKU, leave it in the sale",IF(G23&gt;24,"Pull from the sitewide discount, promote the substitute",IF(UPPER(E23)="Y","Switch to preorder with the real ship date","Let it sell out, turn on back-in-stock signup"))))))</f>
        <v/>
      </c>
    </row>
    <row r="24" ht="15" customHeight="1" s="46">
      <c r="B24" s="70" t="n"/>
      <c r="C24" s="70" t="n"/>
      <c r="D24" s="70" t="n"/>
      <c r="E24" s="70" t="n"/>
      <c r="F24" s="98" t="str">
        <f>IF(OR(B24="",D24=""),"",D24/6)</f>
        <v/>
      </c>
      <c r="G24" s="99" t="str">
        <f>IF(F24="","",IF(F24=0,"No sales",C24/F24))</f>
        <v/>
      </c>
      <c r="H24" s="100" t="str">
        <f>IF(G24="","",IF(G24="No sales","Selling below plan: bundle it or raise its placement",IF(G24&gt;=$E$5,"Keep the offer running",IF(G24&gt;=$E$5-24,"Stop paid ads to this SKU, leave it in the sale",IF(G24&gt;24,"Pull from the sitewide discount, promote the substitute",IF(UPPER(E24)="Y","Switch to preorder with the real ship date","Let it sell out, turn on back-in-stock signup"))))))</f>
        <v/>
      </c>
    </row>
    <row r="25" ht="15" customHeight="1" s="46">
      <c r="B25" s="70" t="n"/>
      <c r="C25" s="70" t="n"/>
      <c r="D25" s="70" t="n"/>
      <c r="E25" s="70" t="n"/>
      <c r="F25" s="98" t="str">
        <f>IF(OR(B25="",D25=""),"",D25/6)</f>
        <v/>
      </c>
      <c r="G25" s="99" t="str">
        <f>IF(F25="","",IF(F25=0,"No sales",C25/F25))</f>
        <v/>
      </c>
      <c r="H25" s="100" t="str">
        <f>IF(G25="","",IF(G25="No sales","Selling below plan: bundle it or raise its placement",IF(G25&gt;=$E$5,"Keep the offer running",IF(G25&gt;=$E$5-24,"Stop paid ads to this SKU, leave it in the sale",IF(G25&gt;24,"Pull from the sitewide discount, promote the substitute",IF(UPPER(E25)="Y","Switch to preorder with the real ship date","Let it sell out, turn on back-in-stock signup"))))))</f>
        <v/>
      </c>
    </row>
    <row r="26" ht="15" customHeight="1" s="46">
      <c r="B26" s="70" t="n"/>
      <c r="C26" s="70" t="n"/>
      <c r="D26" s="70" t="n"/>
      <c r="E26" s="70" t="n"/>
      <c r="F26" s="98" t="str">
        <f>IF(OR(B26="",D26=""),"",D26/6)</f>
        <v/>
      </c>
      <c r="G26" s="99" t="str">
        <f>IF(F26="","",IF(F26=0,"No sales",C26/F26))</f>
        <v/>
      </c>
      <c r="H26" s="100" t="str">
        <f>IF(G26="","",IF(G26="No sales","Selling below plan: bundle it or raise its placement",IF(G26&gt;=$E$5,"Keep the offer running",IF(G26&gt;=$E$5-24,"Stop paid ads to this SKU, leave it in the sale",IF(G26&gt;24,"Pull from the sitewide discount, promote the substitute",IF(UPPER(E26)="Y","Switch to preorder with the real ship date","Let it sell out, turn on back-in-stock signup"))))))</f>
        <v/>
      </c>
    </row>
    <row r="27" ht="15" customHeight="1" s="46">
      <c r="B27" s="70" t="n"/>
      <c r="C27" s="70" t="n"/>
      <c r="D27" s="70" t="n"/>
      <c r="E27" s="70" t="n"/>
      <c r="F27" s="98" t="str">
        <f>IF(OR(B27="",D27=""),"",D27/6)</f>
        <v/>
      </c>
      <c r="G27" s="99" t="str">
        <f>IF(F27="","",IF(F27=0,"No sales",C27/F27))</f>
        <v/>
      </c>
      <c r="H27" s="100" t="str">
        <f>IF(G27="","",IF(G27="No sales","Selling below plan: bundle it or raise its placement",IF(G27&gt;=$E$5,"Keep the offer running",IF(G27&gt;=$E$5-24,"Stop paid ads to this SKU, leave it in the sale",IF(G27&gt;24,"Pull from the sitewide discount, promote the substitute",IF(UPPER(E27)="Y","Switch to preorder with the real ship date","Let it sell out, turn on back-in-stock signup"))))))</f>
        <v/>
      </c>
    </row>
    <row r="28" ht="15" customHeight="1" s="46">
      <c r="B28" s="70" t="n"/>
      <c r="C28" s="70" t="n"/>
      <c r="D28" s="70" t="n"/>
      <c r="E28" s="70" t="n"/>
      <c r="F28" s="98" t="str">
        <f>IF(OR(B28="",D28=""),"",D28/6)</f>
        <v/>
      </c>
      <c r="G28" s="99" t="str">
        <f>IF(F28="","",IF(F28=0,"No sales",C28/F28))</f>
        <v/>
      </c>
      <c r="H28" s="100" t="str">
        <f>IF(G28="","",IF(G28="No sales","Selling below plan: bundle it or raise its placement",IF(G28&gt;=$E$5,"Keep the offer running",IF(G28&gt;=$E$5-24,"Stop paid ads to this SKU, leave it in the sale",IF(G28&gt;24,"Pull from the sitewide discount, promote the substitute",IF(UPPER(E28)="Y","Switch to preorder with the real ship date","Let it sell out, turn on back-in-stock signup"))))))</f>
        <v/>
      </c>
    </row>
    <row r="29" ht="15" customHeight="1" s="46">
      <c r="B29" s="70" t="n"/>
      <c r="C29" s="70" t="n"/>
      <c r="D29" s="70" t="n"/>
      <c r="E29" s="70" t="n"/>
      <c r="F29" s="98" t="str">
        <f>IF(OR(B29="",D29=""),"",D29/6)</f>
        <v/>
      </c>
      <c r="G29" s="99" t="str">
        <f>IF(F29="","",IF(F29=0,"No sales",C29/F29))</f>
        <v/>
      </c>
      <c r="H29" s="100" t="str">
        <f>IF(G29="","",IF(G29="No sales","Selling below plan: bundle it or raise its placement",IF(G29&gt;=$E$5,"Keep the offer running",IF(G29&gt;=$E$5-24,"Stop paid ads to this SKU, leave it in the sale",IF(G29&gt;24,"Pull from the sitewide discount, promote the substitute",IF(UPPER(E29)="Y","Switch to preorder with the real ship date","Let it sell out, turn on back-in-stock signup"))))))</f>
        <v/>
      </c>
    </row>
    <row r="30" ht="15" customHeight="1" s="46">
      <c r="B30" s="70" t="n"/>
      <c r="C30" s="70" t="n"/>
      <c r="D30" s="70" t="n"/>
      <c r="E30" s="70" t="n"/>
      <c r="F30" s="98" t="str">
        <f>IF(OR(B30="",D30=""),"",D30/6)</f>
        <v/>
      </c>
      <c r="G30" s="99" t="str">
        <f>IF(F30="","",IF(F30=0,"No sales",C30/F30))</f>
        <v/>
      </c>
      <c r="H30" s="100" t="str">
        <f>IF(G30="","",IF(G30="No sales","Selling below plan: bundle it or raise its placement",IF(G30&gt;=$E$5,"Keep the offer running",IF(G30&gt;=$E$5-24,"Stop paid ads to this SKU, leave it in the sale",IF(G30&gt;24,"Pull from the sitewide discount, promote the substitute",IF(UPPER(E30)="Y","Switch to preorder with the real ship date","Let it sell out, turn on back-in-stock signup"))))))</f>
        <v/>
      </c>
    </row>
    <row r="31" ht="15" customHeight="1" s="46">
      <c r="B31" s="70" t="n"/>
      <c r="C31" s="70" t="n"/>
      <c r="D31" s="70" t="n"/>
      <c r="E31" s="70" t="n"/>
      <c r="F31" s="98" t="str">
        <f>IF(OR(B31="",D31=""),"",D31/6)</f>
        <v/>
      </c>
      <c r="G31" s="99" t="str">
        <f>IF(F31="","",IF(F31=0,"No sales",C31/F31))</f>
        <v/>
      </c>
      <c r="H31" s="100" t="str">
        <f>IF(G31="","",IF(G31="No sales","Selling below plan: bundle it or raise its placement",IF(G31&gt;=$E$5,"Keep the offer running",IF(G31&gt;=$E$5-24,"Stop paid ads to this SKU, leave it in the sale",IF(G31&gt;24,"Pull from the sitewide discount, promote the substitute",IF(UPPER(E31)="Y","Switch to preorder with the real ship date","Let it sell out, turn on back-in-stock signup"))))))</f>
        <v/>
      </c>
    </row>
    <row r="32" ht="15" customHeight="1" s="46">
      <c r="B32" s="70" t="n"/>
      <c r="C32" s="70" t="n"/>
      <c r="D32" s="70" t="n"/>
      <c r="E32" s="70" t="n"/>
      <c r="F32" s="98" t="str">
        <f>IF(OR(B32="",D32=""),"",D32/6)</f>
        <v/>
      </c>
      <c r="G32" s="99" t="str">
        <f>IF(F32="","",IF(F32=0,"No sales",C32/F32))</f>
        <v/>
      </c>
      <c r="H32" s="100" t="str">
        <f>IF(G32="","",IF(G32="No sales","Selling below plan: bundle it or raise its placement",IF(G32&gt;=$E$5,"Keep the offer running",IF(G32&gt;=$E$5-24,"Stop paid ads to this SKU, leave it in the sale",IF(G32&gt;24,"Pull from the sitewide discount, promote the substitute",IF(UPPER(E32)="Y","Switch to preorder with the real ship date","Let it sell out, turn on back-in-stock signup"))))))</f>
        <v/>
      </c>
    </row>
    <row r="33" ht="15" customHeight="1" s="46">
      <c r="B33" s="70" t="n"/>
      <c r="C33" s="70" t="n"/>
      <c r="D33" s="70" t="n"/>
      <c r="E33" s="70" t="n"/>
      <c r="F33" s="98" t="str">
        <f>IF(OR(B33="",D33=""),"",D33/6)</f>
        <v/>
      </c>
      <c r="G33" s="99" t="str">
        <f>IF(F33="","",IF(F33=0,"No sales",C33/F33))</f>
        <v/>
      </c>
      <c r="H33" s="100" t="str">
        <f>IF(G33="","",IF(G33="No sales","Selling below plan: bundle it or raise its placement",IF(G33&gt;=$E$5,"Keep the offer running",IF(G33&gt;=$E$5-24,"Stop paid ads to this SKU, leave it in the sale",IF(G33&gt;24,"Pull from the sitewide discount, promote the substitute",IF(UPPER(E33)="Y","Switch to preorder with the real ship date","Let it sell out, turn on back-in-stock signup"))))))</f>
        <v/>
      </c>
    </row>
    <row r="34" ht="15" customHeight="1" s="46">
      <c r="B34" s="70" t="n"/>
      <c r="C34" s="70" t="n"/>
      <c r="D34" s="70" t="n"/>
      <c r="E34" s="70" t="n"/>
      <c r="F34" s="98" t="str">
        <f>IF(OR(B34="",D34=""),"",D34/6)</f>
        <v/>
      </c>
      <c r="G34" s="99" t="str">
        <f>IF(F34="","",IF(F34=0,"No sales",C34/F34))</f>
        <v/>
      </c>
      <c r="H34" s="100" t="str">
        <f>IF(G34="","",IF(G34="No sales","Selling below plan: bundle it or raise its placement",IF(G34&gt;=$E$5,"Keep the offer running",IF(G34&gt;=$E$5-24,"Stop paid ads to this SKU, leave it in the sale",IF(G34&gt;24,"Pull from the sitewide discount, promote the substitute",IF(UPPER(E34)="Y","Switch to preorder with the real ship date","Let it sell out, turn on back-in-stock signup"))))))</f>
        <v/>
      </c>
    </row>
    <row r="35" ht="15" customHeight="1" s="46">
      <c r="B35" s="70" t="n"/>
      <c r="C35" s="70" t="n"/>
      <c r="D35" s="70" t="n"/>
      <c r="E35" s="70" t="n"/>
      <c r="F35" s="98" t="str">
        <f>IF(OR(B35="",D35=""),"",D35/6)</f>
        <v/>
      </c>
      <c r="G35" s="99" t="str">
        <f>IF(F35="","",IF(F35=0,"No sales",C35/F35))</f>
        <v/>
      </c>
      <c r="H35" s="100" t="str">
        <f>IF(G35="","",IF(G35="No sales","Selling below plan: bundle it or raise its placement",IF(G35&gt;=$E$5,"Keep the offer running",IF(G35&gt;=$E$5-24,"Stop paid ads to this SKU, leave it in the sale",IF(G35&gt;24,"Pull from the sitewide discount, promote the substitute",IF(UPPER(E35)="Y","Switch to preorder with the real ship date","Let it sell out, turn on back-in-stock signup"))))))</f>
        <v/>
      </c>
    </row>
    <row r="36" ht="15" customHeight="1" s="46">
      <c r="B36" s="70" t="n"/>
      <c r="C36" s="70" t="n"/>
      <c r="D36" s="70" t="n"/>
      <c r="E36" s="70" t="n"/>
      <c r="F36" s="98" t="str">
        <f>IF(OR(B36="",D36=""),"",D36/6)</f>
        <v/>
      </c>
      <c r="G36" s="99" t="str">
        <f>IF(F36="","",IF(F36=0,"No sales",C36/F36))</f>
        <v/>
      </c>
      <c r="H36" s="100" t="str">
        <f>IF(G36="","",IF(G36="No sales","Selling below plan: bundle it or raise its placement",IF(G36&gt;=$E$5,"Keep the offer running",IF(G36&gt;=$E$5-24,"Stop paid ads to this SKU, leave it in the sale",IF(G36&gt;24,"Pull from the sitewide discount, promote the substitute",IF(UPPER(E36)="Y","Switch to preorder with the real ship date","Let it sell out, turn on back-in-stock signup"))))))</f>
        <v/>
      </c>
    </row>
    <row r="37" ht="15" customHeight="1" s="46">
      <c r="B37" s="70" t="n"/>
      <c r="C37" s="70" t="n"/>
      <c r="D37" s="70" t="n"/>
      <c r="E37" s="70" t="n"/>
      <c r="F37" s="98" t="str">
        <f>IF(OR(B37="",D37=""),"",D37/6)</f>
        <v/>
      </c>
      <c r="G37" s="99" t="str">
        <f>IF(F37="","",IF(F37=0,"No sales",C37/F37))</f>
        <v/>
      </c>
      <c r="H37" s="100" t="str">
        <f>IF(G37="","",IF(G37="No sales","Selling below plan: bundle it or raise its placement",IF(G37&gt;=$E$5,"Keep the offer running",IF(G37&gt;=$E$5-24,"Stop paid ads to this SKU, leave it in the sale",IF(G37&gt;24,"Pull from the sitewide discount, promote the substitute",IF(UPPER(E37)="Y","Switch to preorder with the real ship date","Let it sell out, turn on back-in-stock signup"))))))</f>
        <v/>
      </c>
    </row>
    <row r="38" ht="15" customHeight="1" s="46">
      <c r="B38" s="70" t="n"/>
      <c r="C38" s="70" t="n"/>
      <c r="D38" s="70" t="n"/>
      <c r="E38" s="70" t="n"/>
      <c r="F38" s="98" t="str">
        <f>IF(OR(B38="",D38=""),"",D38/6)</f>
        <v/>
      </c>
      <c r="G38" s="99" t="str">
        <f>IF(F38="","",IF(F38=0,"No sales",C38/F38))</f>
        <v/>
      </c>
      <c r="H38" s="100" t="str">
        <f>IF(G38="","",IF(G38="No sales","Selling below plan: bundle it or raise its placement",IF(G38&gt;=$E$5,"Keep the offer running",IF(G38&gt;=$E$5-24,"Stop paid ads to this SKU, leave it in the sale",IF(G38&gt;24,"Pull from the sitewide discount, promote the substitute",IF(UPPER(E38)="Y","Switch to preorder with the real ship date","Let it sell out, turn on back-in-stock signup"))))))</f>
        <v/>
      </c>
    </row>
    <row r="39" ht="15" customHeight="1" s="46">
      <c r="B39" s="70" t="n"/>
      <c r="C39" s="70" t="n"/>
      <c r="D39" s="70" t="n"/>
      <c r="E39" s="70" t="n"/>
      <c r="F39" s="98" t="str">
        <f>IF(OR(B39="",D39=""),"",D39/6)</f>
        <v/>
      </c>
      <c r="G39" s="99" t="str">
        <f>IF(F39="","",IF(F39=0,"No sales",C39/F39))</f>
        <v/>
      </c>
      <c r="H39" s="100" t="str">
        <f>IF(G39="","",IF(G39="No sales","Selling below plan: bundle it or raise its placement",IF(G39&gt;=$E$5,"Keep the offer running",IF(G39&gt;=$E$5-24,"Stop paid ads to this SKU, leave it in the sale",IF(G39&gt;24,"Pull from the sitewide discount, promote the substitute",IF(UPPER(E39)="Y","Switch to preorder with the real ship date","Let it sell out, turn on back-in-stock signup"))))))</f>
        <v/>
      </c>
    </row>
    <row r="40" ht="15" customHeight="1" s="46">
      <c r="B40" s="70" t="n"/>
      <c r="C40" s="70" t="n"/>
      <c r="D40" s="70" t="n"/>
      <c r="E40" s="70" t="n"/>
      <c r="F40" s="98" t="str">
        <f>IF(OR(B40="",D40=""),"",D40/6)</f>
        <v/>
      </c>
      <c r="G40" s="99" t="str">
        <f>IF(F40="","",IF(F40=0,"No sales",C40/F40))</f>
        <v/>
      </c>
      <c r="H40" s="100" t="str">
        <f>IF(G40="","",IF(G40="No sales","Selling below plan: bundle it or raise its placement",IF(G40&gt;=$E$5,"Keep the offer running",IF(G40&gt;=$E$5-24,"Stop paid ads to this SKU, leave it in the sale",IF(G40&gt;24,"Pull from the sitewide discount, promote the substitute",IF(UPPER(E40)="Y","Switch to preorder with the real ship date","Let it sell out, turn on back-in-stock signup"))))))</f>
        <v/>
      </c>
    </row>
    <row r="41" ht="15" customHeight="1" s="46">
      <c r="B41" s="70" t="n"/>
      <c r="C41" s="70" t="n"/>
      <c r="D41" s="70" t="n"/>
      <c r="E41" s="70" t="n"/>
      <c r="F41" s="98" t="str">
        <f>IF(OR(B41="",D41=""),"",D41/6)</f>
        <v/>
      </c>
      <c r="G41" s="99" t="str">
        <f>IF(F41="","",IF(F41=0,"No sales",C41/F41))</f>
        <v/>
      </c>
      <c r="H41" s="100" t="str">
        <f>IF(G41="","",IF(G41="No sales","Selling below plan: bundle it or raise its placement",IF(G41&gt;=$E$5,"Keep the offer running",IF(G41&gt;=$E$5-24,"Stop paid ads to this SKU, leave it in the sale",IF(G41&gt;24,"Pull from the sitewide discount, promote the substitute",IF(UPPER(E41)="Y","Switch to preorder with the real ship date","Let it sell out, turn on back-in-stock signup"))))))</f>
        <v/>
      </c>
    </row>
    <row r="42" ht="15" customHeight="1" s="46">
      <c r="B42" s="70" t="n"/>
      <c r="C42" s="70" t="n"/>
      <c r="D42" s="70" t="n"/>
      <c r="E42" s="70" t="n"/>
      <c r="F42" s="98" t="str">
        <f>IF(OR(B42="",D42=""),"",D42/6)</f>
        <v/>
      </c>
      <c r="G42" s="99" t="str">
        <f>IF(F42="","",IF(F42=0,"No sales",C42/F42))</f>
        <v/>
      </c>
      <c r="H42" s="100" t="str">
        <f>IF(G42="","",IF(G42="No sales","Selling below plan: bundle it or raise its placement",IF(G42&gt;=$E$5,"Keep the offer running",IF(G42&gt;=$E$5-24,"Stop paid ads to this SKU, leave it in the sale",IF(G42&gt;24,"Pull from the sitewide discount, promote the substitute",IF(UPPER(E42)="Y","Switch to preorder with the real ship date","Let it sell out, turn on back-in-stock signup"))))))</f>
        <v/>
      </c>
    </row>
    <row r="43" ht="15" customHeight="1" s="46">
      <c r="B43" s="70" t="n"/>
      <c r="C43" s="70" t="n"/>
      <c r="D43" s="70" t="n"/>
      <c r="E43" s="70" t="n"/>
      <c r="F43" s="98" t="str">
        <f>IF(OR(B43="",D43=""),"",D43/6)</f>
        <v/>
      </c>
      <c r="G43" s="99" t="str">
        <f>IF(F43="","",IF(F43=0,"No sales",C43/F43))</f>
        <v/>
      </c>
      <c r="H43" s="100" t="str">
        <f>IF(G43="","",IF(G43="No sales","Selling below plan: bundle it or raise its placement",IF(G43&gt;=$E$5,"Keep the offer running",IF(G43&gt;=$E$5-24,"Stop paid ads to this SKU, leave it in the sale",IF(G43&gt;24,"Pull from the sitewide discount, promote the substitute",IF(UPPER(E43)="Y","Switch to preorder with the real ship date","Let it sell out, turn on back-in-stock signup"))))))</f>
        <v/>
      </c>
    </row>
    <row r="44" ht="15" customHeight="1" s="46">
      <c r="B44" s="70" t="n"/>
      <c r="C44" s="70" t="n"/>
      <c r="D44" s="70" t="n"/>
      <c r="E44" s="70" t="n"/>
      <c r="F44" s="98" t="str">
        <f>IF(OR(B44="",D44=""),"",D44/6)</f>
        <v/>
      </c>
      <c r="G44" s="99" t="str">
        <f>IF(F44="","",IF(F44=0,"No sales",C44/F44))</f>
        <v/>
      </c>
      <c r="H44" s="100" t="str">
        <f>IF(G44="","",IF(G44="No sales","Selling below plan: bundle it or raise its placement",IF(G44&gt;=$E$5,"Keep the offer running",IF(G44&gt;=$E$5-24,"Stop paid ads to this SKU, leave it in the sale",IF(G44&gt;24,"Pull from the sitewide discount, promote the substitute",IF(UPPER(E44)="Y","Switch to preorder with the real ship date","Let it sell out, turn on back-in-stock signup"))))))</f>
        <v/>
      </c>
    </row>
    <row r="45" ht="15" customHeight="1" s="46">
      <c r="B45" s="70" t="n"/>
      <c r="C45" s="70" t="n"/>
      <c r="D45" s="70" t="n"/>
      <c r="E45" s="70" t="n"/>
      <c r="F45" s="98" t="str">
        <f>IF(OR(B45="",D45=""),"",D45/6)</f>
        <v/>
      </c>
      <c r="G45" s="99" t="str">
        <f>IF(F45="","",IF(F45=0,"No sales",C45/F45))</f>
        <v/>
      </c>
      <c r="H45" s="100" t="str">
        <f>IF(G45="","",IF(G45="No sales","Selling below plan: bundle it or raise its placement",IF(G45&gt;=$E$5,"Keep the offer running",IF(G45&gt;=$E$5-24,"Stop paid ads to this SKU, leave it in the sale",IF(G45&gt;24,"Pull from the sitewide discount, promote the substitute",IF(UPPER(E45)="Y","Switch to preorder with the real ship date","Let it sell out, turn on back-in-stock signup"))))))</f>
        <v/>
      </c>
    </row>
    <row r="46" ht="15" customHeight="1" s="46">
      <c r="B46" s="70" t="n"/>
      <c r="C46" s="70" t="n"/>
      <c r="D46" s="70" t="n"/>
      <c r="E46" s="70" t="n"/>
      <c r="F46" s="98" t="str">
        <f>IF(OR(B46="",D46=""),"",D46/6)</f>
        <v/>
      </c>
      <c r="G46" s="99" t="str">
        <f>IF(F46="","",IF(F46=0,"No sales",C46/F46))</f>
        <v/>
      </c>
      <c r="H46" s="100" t="str">
        <f>IF(G46="","",IF(G46="No sales","Selling below plan: bundle it or raise its placement",IF(G46&gt;=$E$5,"Keep the offer running",IF(G46&gt;=$E$5-24,"Stop paid ads to this SKU, leave it in the sale",IF(G46&gt;24,"Pull from the sitewide discount, promote the substitute",IF(UPPER(E46)="Y","Switch to preorder with the real ship date","Let it sell out, turn on back-in-stock signup"))))))</f>
        <v/>
      </c>
    </row>
    <row r="47" ht="15" customHeight="1" s="46">
      <c r="B47" s="70" t="n"/>
      <c r="C47" s="70" t="n"/>
      <c r="D47" s="70" t="n"/>
      <c r="E47" s="70" t="n"/>
      <c r="F47" s="98" t="str">
        <f>IF(OR(B47="",D47=""),"",D47/6)</f>
        <v/>
      </c>
      <c r="G47" s="99" t="str">
        <f>IF(F47="","",IF(F47=0,"No sales",C47/F47))</f>
        <v/>
      </c>
      <c r="H47" s="100" t="str">
        <f>IF(G47="","",IF(G47="No sales","Selling below plan: bundle it or raise its placement",IF(G47&gt;=$E$5,"Keep the offer running",IF(G47&gt;=$E$5-24,"Stop paid ads to this SKU, leave it in the sale",IF(G47&gt;24,"Pull from the sitewide discount, promote the substitute",IF(UPPER(E47)="Y","Switch to preorder with the real ship date","Let it sell out, turn on back-in-stock signup"))))))</f>
        <v/>
      </c>
    </row>
  </sheetData>
  <sheetProtection selectLockedCells="0" selectUnlockedCells="0" sheet="1" objects="0" insertRows="1" insertHyperlinks="1" autoFilter="1" scenarios="0" formatColumns="0" deleteColumns="1" insertColumns="1" pivotTables="1" deleteRows="1" formatCells="0" formatRows="0" sort="1"/>
  <dataValidations count="1">
    <dataValidation sqref="E8:E47" showDropDown="0" showInputMessage="0" showErrorMessage="0" allowBlank="1" type="list" errorStyle="stop" operator="between">
      <formula1>"Y,N"</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Forstock</dc:creator>
  <dc:title>BFCM Inventory Countdown Planner</dc:title>
  <dc:language>en-US</dc:language>
  <dcterms:created xsi:type="dcterms:W3CDTF">2026-10-01T16:51:44Z</dcterms:created>
  <dcterms:modified xsi:type="dcterms:W3CDTF">2026-10-05T10:34:22Z</dcterms:modified>
  <cp:revision>0</cp:revision>
</cp:coreProperties>
</file>